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Dokumenty\Rozpočet 2019-2022\"/>
    </mc:Choice>
  </mc:AlternateContent>
  <xr:revisionPtr revIDLastSave="0" documentId="8_{44844746-D72E-4E57-B234-EB68EDD5FD9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1" r:id="rId1"/>
    <sheet name="Výdaj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B30" i="2"/>
  <c r="B64" i="2"/>
  <c r="C64" i="2"/>
  <c r="C47" i="2"/>
  <c r="C39" i="2"/>
  <c r="C18" i="2"/>
  <c r="D119" i="2"/>
  <c r="D118" i="2"/>
  <c r="C110" i="2"/>
  <c r="C103" i="2"/>
  <c r="C102" i="2"/>
  <c r="C100" i="2"/>
  <c r="C86" i="2"/>
  <c r="D84" i="2"/>
  <c r="C76" i="2"/>
  <c r="D63" i="2"/>
  <c r="D62" i="2"/>
  <c r="D60" i="2"/>
  <c r="D57" i="2"/>
  <c r="C53" i="2"/>
  <c r="D37" i="2"/>
  <c r="C31" i="2"/>
  <c r="C30" i="2"/>
  <c r="C23" i="2"/>
  <c r="C22" i="2"/>
  <c r="C25" i="2" s="1"/>
  <c r="C19" i="2"/>
  <c r="C13" i="2"/>
  <c r="C8" i="2"/>
  <c r="C7" i="2"/>
  <c r="C11" i="2" s="1"/>
  <c r="B102" i="2"/>
  <c r="B117" i="2"/>
  <c r="B110" i="2"/>
  <c r="B112" i="2"/>
  <c r="B103" i="2"/>
  <c r="B100" i="2"/>
  <c r="B86" i="2"/>
  <c r="B77" i="2"/>
  <c r="B76" i="2"/>
  <c r="D74" i="2"/>
  <c r="B71" i="2"/>
  <c r="B70" i="2"/>
  <c r="B53" i="2"/>
  <c r="B45" i="2"/>
  <c r="B35" i="2"/>
  <c r="B23" i="2"/>
  <c r="B32" i="2"/>
  <c r="B31" i="2"/>
  <c r="B26" i="2"/>
  <c r="B19" i="2"/>
  <c r="B7" i="2"/>
  <c r="B31" i="1"/>
  <c r="B28" i="1"/>
  <c r="B29" i="1"/>
  <c r="D16" i="1"/>
  <c r="B13" i="2"/>
  <c r="D12" i="2"/>
  <c r="B8" i="2"/>
  <c r="D24" i="1"/>
  <c r="B54" i="1"/>
  <c r="D41" i="1"/>
  <c r="D33" i="1"/>
  <c r="C23" i="1"/>
  <c r="B23" i="1"/>
  <c r="D8" i="2" l="1"/>
  <c r="C68" i="2"/>
  <c r="B68" i="2"/>
  <c r="D66" i="2"/>
  <c r="D65" i="2"/>
  <c r="D67" i="2"/>
  <c r="D19" i="1"/>
  <c r="C6" i="2" l="1"/>
  <c r="B6" i="2"/>
  <c r="D32" i="1"/>
  <c r="D122" i="2" l="1"/>
  <c r="B123" i="2" l="1"/>
  <c r="D75" i="2"/>
  <c r="C71" i="2"/>
  <c r="D69" i="2"/>
  <c r="D54" i="2"/>
  <c r="C52" i="2"/>
  <c r="B52" i="2"/>
  <c r="D33" i="2"/>
  <c r="D32" i="2"/>
  <c r="B22" i="2"/>
  <c r="D17" i="2"/>
  <c r="D13" i="2"/>
  <c r="D22" i="1"/>
  <c r="D35" i="1"/>
  <c r="B45" i="1"/>
  <c r="D4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20" i="1"/>
  <c r="D21" i="1"/>
  <c r="D25" i="1"/>
  <c r="D26" i="1"/>
  <c r="D27" i="1"/>
  <c r="D28" i="1"/>
  <c r="D29" i="1"/>
  <c r="D30" i="1"/>
  <c r="D31" i="1"/>
  <c r="D34" i="1"/>
  <c r="D36" i="1"/>
  <c r="D37" i="1"/>
  <c r="D38" i="1"/>
  <c r="D39" i="1"/>
  <c r="D40" i="1"/>
  <c r="D43" i="1"/>
  <c r="B63" i="1"/>
  <c r="D23" i="1" l="1"/>
  <c r="C45" i="1"/>
  <c r="D45" i="1" l="1"/>
  <c r="B25" i="2" l="1"/>
  <c r="D97" i="2" l="1"/>
  <c r="D93" i="2" l="1"/>
  <c r="D5" i="2" l="1"/>
  <c r="D7" i="2"/>
  <c r="D9" i="2"/>
  <c r="D10" i="2"/>
  <c r="D14" i="2"/>
  <c r="D15" i="2"/>
  <c r="D16" i="2"/>
  <c r="D19" i="2"/>
  <c r="D20" i="2"/>
  <c r="D21" i="2"/>
  <c r="D22" i="2"/>
  <c r="D23" i="2"/>
  <c r="D24" i="2"/>
  <c r="D26" i="2"/>
  <c r="D27" i="2"/>
  <c r="D28" i="2"/>
  <c r="D29" i="2"/>
  <c r="D30" i="2"/>
  <c r="D31" i="2"/>
  <c r="D34" i="2"/>
  <c r="D35" i="2"/>
  <c r="D36" i="2"/>
  <c r="D38" i="2"/>
  <c r="D40" i="2"/>
  <c r="D41" i="2"/>
  <c r="D42" i="2"/>
  <c r="D43" i="2"/>
  <c r="D44" i="2"/>
  <c r="D45" i="2"/>
  <c r="D46" i="2"/>
  <c r="D48" i="2"/>
  <c r="D49" i="2"/>
  <c r="D50" i="2"/>
  <c r="D51" i="2"/>
  <c r="D53" i="2"/>
  <c r="D55" i="2"/>
  <c r="D56" i="2"/>
  <c r="D58" i="2"/>
  <c r="D59" i="2"/>
  <c r="D61" i="2"/>
  <c r="D68" i="2"/>
  <c r="D70" i="2"/>
  <c r="D71" i="2"/>
  <c r="D72" i="2"/>
  <c r="D76" i="2"/>
  <c r="D77" i="2"/>
  <c r="D78" i="2"/>
  <c r="D79" i="2"/>
  <c r="D80" i="2"/>
  <c r="D81" i="2"/>
  <c r="D83" i="2"/>
  <c r="D85" i="2"/>
  <c r="D86" i="2"/>
  <c r="D87" i="2"/>
  <c r="D88" i="2"/>
  <c r="D89" i="2"/>
  <c r="D90" i="2"/>
  <c r="D91" i="2"/>
  <c r="D92" i="2"/>
  <c r="D94" i="2"/>
  <c r="D95" i="2"/>
  <c r="D96" i="2"/>
  <c r="D98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20" i="2"/>
  <c r="D121" i="2"/>
  <c r="D124" i="2"/>
  <c r="C123" i="2"/>
  <c r="C99" i="2"/>
  <c r="C82" i="2"/>
  <c r="C73" i="2"/>
  <c r="C127" i="2" s="1"/>
  <c r="B11" i="2"/>
  <c r="B18" i="2"/>
  <c r="B39" i="2"/>
  <c r="B47" i="2"/>
  <c r="B73" i="2"/>
  <c r="B82" i="2"/>
  <c r="B99" i="2"/>
  <c r="D4" i="2"/>
  <c r="B127" i="2" l="1"/>
  <c r="D73" i="2"/>
  <c r="D82" i="2"/>
  <c r="D18" i="2"/>
  <c r="D52" i="2"/>
  <c r="D25" i="2"/>
  <c r="D39" i="2"/>
  <c r="D6" i="2"/>
  <c r="D11" i="2"/>
  <c r="D47" i="2"/>
  <c r="D64" i="2"/>
  <c r="D123" i="2"/>
  <c r="D99" i="2"/>
  <c r="D127" i="2" l="1"/>
</calcChain>
</file>

<file path=xl/sharedStrings.xml><?xml version="1.0" encoding="utf-8"?>
<sst xmlns="http://schemas.openxmlformats.org/spreadsheetml/2006/main" count="189" uniqueCount="143">
  <si>
    <t>Příjmy</t>
  </si>
  <si>
    <t>Plnění</t>
  </si>
  <si>
    <t>Rozpočet</t>
  </si>
  <si>
    <t>%</t>
  </si>
  <si>
    <t>Daň z příjmů fyzických osob - závislá činnost</t>
  </si>
  <si>
    <t>Daň z příjmů fyzických osob - podnikat.</t>
  </si>
  <si>
    <t>Daň z příjmů fyzických osob - srážková</t>
  </si>
  <si>
    <t>Daň z příjmů právnických osob</t>
  </si>
  <si>
    <t>Daň z přidané hodnoty</t>
  </si>
  <si>
    <t>Odvody za odnětí zemědělšké půdy</t>
  </si>
  <si>
    <t>Poplatek za likvidaci komunálního odpadu</t>
  </si>
  <si>
    <t>Poplatek ze psů</t>
  </si>
  <si>
    <t>Správní poplatky</t>
  </si>
  <si>
    <t>Daň z hazardních her</t>
  </si>
  <si>
    <t>Daň z nemovitých věcí</t>
  </si>
  <si>
    <t>Dotace - volby</t>
  </si>
  <si>
    <t>Dotace ze SR na provoz</t>
  </si>
  <si>
    <t>Investiční dotace od obcí (ČOV-Židněves)</t>
  </si>
  <si>
    <t>Neinvestiční dotace od obcí (ČOV-Židněves, JSDH-Řepov a Dl.Lhota)</t>
  </si>
  <si>
    <t>Příjmy z MŠ, ŠD a ZŠ (přefakturace EE, stočné, vodné)</t>
  </si>
  <si>
    <t>Poplatky knihovna</t>
  </si>
  <si>
    <t>Tržba - Březenský zpravodaj, publikace</t>
  </si>
  <si>
    <t>Příjmy za stočné</t>
  </si>
  <si>
    <t>Pronájmy sokolovny + služby</t>
  </si>
  <si>
    <t>Pronájmy ZS + služby</t>
  </si>
  <si>
    <t>Pronájmy byty + služby</t>
  </si>
  <si>
    <t>Pronájmy hrobových míst</t>
  </si>
  <si>
    <t>Pronájmy prodejny + služby</t>
  </si>
  <si>
    <t>Tržby z prodeje známek a pytlů na odpad</t>
  </si>
  <si>
    <t>Příjmy z VZ</t>
  </si>
  <si>
    <t>Ostatní služby správa</t>
  </si>
  <si>
    <t>Příjmy z pronájmu pozemků</t>
  </si>
  <si>
    <t>Pronájem tescodomu</t>
  </si>
  <si>
    <t>Příjmy z úroků</t>
  </si>
  <si>
    <t>Vratky z min. let - ZŠ</t>
  </si>
  <si>
    <t>Píjmy z podílů na zisku a dividend</t>
  </si>
  <si>
    <t>CELKEM PŘÍJMY</t>
  </si>
  <si>
    <t>pokladna</t>
  </si>
  <si>
    <t>spořící účet KB</t>
  </si>
  <si>
    <t>ČNB</t>
  </si>
  <si>
    <t xml:space="preserve">běžný účet KB </t>
  </si>
  <si>
    <t>Moneta</t>
  </si>
  <si>
    <t>CELKEM</t>
  </si>
  <si>
    <t>Výdaje</t>
  </si>
  <si>
    <t>Zimní údržba silnic</t>
  </si>
  <si>
    <t>Oprava silnic</t>
  </si>
  <si>
    <t>Celkem komunikace</t>
  </si>
  <si>
    <t>Ostatní služby</t>
  </si>
  <si>
    <t>Revitalizace náměstí</t>
  </si>
  <si>
    <t>Celkem chodníky</t>
  </si>
  <si>
    <t>Vodné a stočné</t>
  </si>
  <si>
    <t>EE v MŠ</t>
  </si>
  <si>
    <t>EE v ŠD</t>
  </si>
  <si>
    <t>Pojištění majetku ZŠ a MŠ</t>
  </si>
  <si>
    <t>Opravy a udržování</t>
  </si>
  <si>
    <t>Dotace pro ZŠ</t>
  </si>
  <si>
    <t>Celkem MŠ, ZŠ a ŠD</t>
  </si>
  <si>
    <t>Knihovna</t>
  </si>
  <si>
    <t>Kulturní památky</t>
  </si>
  <si>
    <t>Rozhlas a televize</t>
  </si>
  <si>
    <t>Zájmová činnost v kultuře (vítání občánků, Březenský zpravodaj)</t>
  </si>
  <si>
    <t>Pojištění majetku</t>
  </si>
  <si>
    <t>Ostatní služby + internet</t>
  </si>
  <si>
    <t>Víceúčelová sportovní hala</t>
  </si>
  <si>
    <t>Sokolovna celkem</t>
  </si>
  <si>
    <t>Mzdové náklady</t>
  </si>
  <si>
    <t>Dotace pro TJ Sokol</t>
  </si>
  <si>
    <t>Volný čas dětí, vč. Dětského hřiště</t>
  </si>
  <si>
    <t>Opravy a udržování + ostatní služby</t>
  </si>
  <si>
    <t>Telefony</t>
  </si>
  <si>
    <t>Zdravotní středisko celkem</t>
  </si>
  <si>
    <t>Elektrická energie</t>
  </si>
  <si>
    <t>VO celkem</t>
  </si>
  <si>
    <t>Pohřebnictví</t>
  </si>
  <si>
    <t>ČOV celkem</t>
  </si>
  <si>
    <t>Prodejna celkem</t>
  </si>
  <si>
    <t>Celkem TKO</t>
  </si>
  <si>
    <t>mzdové náklady - úklid odpadu</t>
  </si>
  <si>
    <t>Drobný hmotný majetek + nákup materiálu</t>
  </si>
  <si>
    <t>CELKEM VÝDAJE</t>
  </si>
  <si>
    <t>Svoz tuhého komunálního odpadu - známky</t>
  </si>
  <si>
    <t>Pohonné hmoty</t>
  </si>
  <si>
    <t>Celkem VZ</t>
  </si>
  <si>
    <t>Ochrana obyvatelstva</t>
  </si>
  <si>
    <t>PH</t>
  </si>
  <si>
    <t>PH SCANIA</t>
  </si>
  <si>
    <t>Dotace pro SDH</t>
  </si>
  <si>
    <t>Ostatní služby SCANIA</t>
  </si>
  <si>
    <t>Celkem PO</t>
  </si>
  <si>
    <t>Zastupitelstvo</t>
  </si>
  <si>
    <t>Volby</t>
  </si>
  <si>
    <t>Drobný hmotný majetek + nákup materiálu + knihy, tisk</t>
  </si>
  <si>
    <t>Pojištění</t>
  </si>
  <si>
    <t>Právní služby</t>
  </si>
  <si>
    <t>Školení a vzdělávání</t>
  </si>
  <si>
    <t>Ostatní služby + poštovní služby</t>
  </si>
  <si>
    <t>Programové vybavení</t>
  </si>
  <si>
    <t>Cestovné</t>
  </si>
  <si>
    <t>Pohoštění</t>
  </si>
  <si>
    <t>Příspěvky, včelaři, knihovna, MAS</t>
  </si>
  <si>
    <t>Daně a poplatky</t>
  </si>
  <si>
    <t>Spravní poplatky</t>
  </si>
  <si>
    <t>Sociální fond</t>
  </si>
  <si>
    <t>Celkem místní správa</t>
  </si>
  <si>
    <t>Finanční operace</t>
  </si>
  <si>
    <t>DPH</t>
  </si>
  <si>
    <t>Udržovací poplatky - software</t>
  </si>
  <si>
    <t>v procentech</t>
  </si>
  <si>
    <t>Pojištění majetku SCANIA</t>
  </si>
  <si>
    <t>Upravený rozpočet</t>
  </si>
  <si>
    <t>Přijaté nekapitálové příspěvky za využívání a zneškodňování odpadu</t>
  </si>
  <si>
    <t>Intenzifikace ČOV - spojitost s dotací OPŽP</t>
  </si>
  <si>
    <t>Pojištění kaplička Dolánky</t>
  </si>
  <si>
    <t>Drobný hmotný dlouhodobý majetek + materiál</t>
  </si>
  <si>
    <t>Územní plánování</t>
  </si>
  <si>
    <t>Nebezpečný odpad</t>
  </si>
  <si>
    <t>Ostatní odpady</t>
  </si>
  <si>
    <t>Prodej kr. majetku</t>
  </si>
  <si>
    <t>Příjem - náhrada za VB</t>
  </si>
  <si>
    <t>Investiční dotace OPŽP (ČOV Březno)</t>
  </si>
  <si>
    <t>Projekty</t>
  </si>
  <si>
    <t>Ostatní správa v obl.bydlení celkem</t>
  </si>
  <si>
    <t>Dotace - příspěvek Covid</t>
  </si>
  <si>
    <t>Sankční platby ČOV</t>
  </si>
  <si>
    <t>Pojistná náhrada</t>
  </si>
  <si>
    <t>Prodej pozemků</t>
  </si>
  <si>
    <t>Sankční platba (pozemek)</t>
  </si>
  <si>
    <t>Finanční prostředky k 31.12.2019</t>
  </si>
  <si>
    <t>Zelené patníky</t>
  </si>
  <si>
    <t>Intenzifikace ČOV - služby</t>
  </si>
  <si>
    <t>Finanční prostředky k 9.9.2020</t>
  </si>
  <si>
    <t>ZPRÁVA O HOSPODAŘENÍ K 9.9.2020</t>
  </si>
  <si>
    <t>Údržba chodníků (mzdy+PH)</t>
  </si>
  <si>
    <t>Materiál</t>
  </si>
  <si>
    <t>Klimatizace</t>
  </si>
  <si>
    <t>Rekonstrukce prodejny</t>
  </si>
  <si>
    <t>Budovy</t>
  </si>
  <si>
    <t>Tříděné odpady</t>
  </si>
  <si>
    <t>Rezerva na krizová opatření</t>
  </si>
  <si>
    <t>Neinvestiční transfery obcím</t>
  </si>
  <si>
    <t>Přestupky předané na magistrát</t>
  </si>
  <si>
    <t>Nákup kolků</t>
  </si>
  <si>
    <t>Vrácení finanční návratné výpomoci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</si>
</sst>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164" formatCode="0000/0000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2" fontId="2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42" fontId="1" fillId="0" borderId="0" xfId="0" applyNumberFormat="1" applyFont="1" applyBorder="1"/>
    <xf numFmtId="42" fontId="0" fillId="0" borderId="0" xfId="0" applyNumberFormat="1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65" fontId="4" fillId="0" borderId="2" xfId="0" applyNumberFormat="1" applyFont="1" applyBorder="1"/>
    <xf numFmtId="164" fontId="4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164" fontId="3" fillId="0" borderId="1" xfId="0" applyNumberFormat="1" applyFont="1" applyBorder="1"/>
    <xf numFmtId="165" fontId="3" fillId="0" borderId="1" xfId="0" applyNumberFormat="1" applyFont="1" applyBorder="1"/>
    <xf numFmtId="0" fontId="3" fillId="0" borderId="3" xfId="0" applyFont="1" applyBorder="1"/>
    <xf numFmtId="165" fontId="3" fillId="0" borderId="3" xfId="0" applyNumberFormat="1" applyFont="1" applyBorder="1"/>
    <xf numFmtId="164" fontId="3" fillId="0" borderId="3" xfId="0" applyNumberFormat="1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/>
    <xf numFmtId="10" fontId="4" fillId="0" borderId="2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165" fontId="3" fillId="0" borderId="4" xfId="0" applyNumberFormat="1" applyFont="1" applyBorder="1"/>
    <xf numFmtId="10" fontId="3" fillId="0" borderId="4" xfId="0" applyNumberFormat="1" applyFont="1" applyBorder="1" applyAlignment="1">
      <alignment horizontal="right"/>
    </xf>
    <xf numFmtId="165" fontId="0" fillId="0" borderId="0" xfId="0" applyNumberFormat="1"/>
    <xf numFmtId="0" fontId="3" fillId="0" borderId="2" xfId="0" applyFont="1" applyBorder="1"/>
    <xf numFmtId="165" fontId="3" fillId="0" borderId="2" xfId="0" applyNumberFormat="1" applyFont="1" applyBorder="1"/>
    <xf numFmtId="10" fontId="3" fillId="0" borderId="2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workbookViewId="0">
      <selection activeCell="I13" sqref="I13"/>
    </sheetView>
  </sheetViews>
  <sheetFormatPr defaultRowHeight="15" x14ac:dyDescent="0.25"/>
  <cols>
    <col min="1" max="1" width="64.7109375" customWidth="1"/>
    <col min="2" max="2" width="19" customWidth="1"/>
    <col min="3" max="3" width="17.7109375" customWidth="1"/>
    <col min="4" max="4" width="11.85546875" customWidth="1"/>
    <col min="10" max="10" width="15" bestFit="1" customWidth="1"/>
  </cols>
  <sheetData>
    <row r="1" spans="1:4" x14ac:dyDescent="0.25">
      <c r="A1" s="6" t="s">
        <v>131</v>
      </c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18" t="s">
        <v>0</v>
      </c>
      <c r="B3" s="19" t="s">
        <v>1</v>
      </c>
      <c r="C3" s="19" t="s">
        <v>2</v>
      </c>
      <c r="D3" s="19" t="s">
        <v>3</v>
      </c>
    </row>
    <row r="4" spans="1:4" x14ac:dyDescent="0.25">
      <c r="A4" s="8" t="s">
        <v>4</v>
      </c>
      <c r="B4" s="9">
        <v>2850344</v>
      </c>
      <c r="C4" s="9">
        <v>4418000</v>
      </c>
      <c r="D4" s="21">
        <f t="shared" ref="D4:D45" si="0">B4/C4</f>
        <v>0.64516613852421911</v>
      </c>
    </row>
    <row r="5" spans="1:4" x14ac:dyDescent="0.25">
      <c r="A5" s="8" t="s">
        <v>5</v>
      </c>
      <c r="B5" s="9">
        <v>31214.89</v>
      </c>
      <c r="C5" s="9">
        <v>130000</v>
      </c>
      <c r="D5" s="21">
        <f t="shared" si="0"/>
        <v>0.24011453846153846</v>
      </c>
    </row>
    <row r="6" spans="1:4" x14ac:dyDescent="0.25">
      <c r="A6" s="8" t="s">
        <v>6</v>
      </c>
      <c r="B6" s="9">
        <v>307250.27</v>
      </c>
      <c r="C6" s="9">
        <v>470000</v>
      </c>
      <c r="D6" s="21">
        <f t="shared" si="0"/>
        <v>0.65372397872340426</v>
      </c>
    </row>
    <row r="7" spans="1:4" x14ac:dyDescent="0.25">
      <c r="A7" s="8" t="s">
        <v>7</v>
      </c>
      <c r="B7" s="9">
        <v>1811072.9</v>
      </c>
      <c r="C7" s="9">
        <v>3854000</v>
      </c>
      <c r="D7" s="21">
        <f t="shared" si="0"/>
        <v>0.46992031655422933</v>
      </c>
    </row>
    <row r="8" spans="1:4" x14ac:dyDescent="0.25">
      <c r="A8" s="8" t="s">
        <v>8</v>
      </c>
      <c r="B8" s="9">
        <v>6394006.8099999996</v>
      </c>
      <c r="C8" s="9">
        <v>9024000</v>
      </c>
      <c r="D8" s="21">
        <f t="shared" si="0"/>
        <v>0.70855571919326232</v>
      </c>
    </row>
    <row r="9" spans="1:4" x14ac:dyDescent="0.25">
      <c r="A9" s="8" t="s">
        <v>9</v>
      </c>
      <c r="B9" s="9">
        <v>0</v>
      </c>
      <c r="C9" s="9">
        <v>2000</v>
      </c>
      <c r="D9" s="21">
        <f t="shared" si="0"/>
        <v>0</v>
      </c>
    </row>
    <row r="10" spans="1:4" x14ac:dyDescent="0.25">
      <c r="A10" s="8" t="s">
        <v>10</v>
      </c>
      <c r="B10" s="9">
        <v>559660</v>
      </c>
      <c r="C10" s="9">
        <v>561000</v>
      </c>
      <c r="D10" s="21">
        <f t="shared" si="0"/>
        <v>0.99761140819964345</v>
      </c>
    </row>
    <row r="11" spans="1:4" x14ac:dyDescent="0.25">
      <c r="A11" s="8" t="s">
        <v>11</v>
      </c>
      <c r="B11" s="9">
        <v>19800</v>
      </c>
      <c r="C11" s="9">
        <v>21000</v>
      </c>
      <c r="D11" s="21">
        <f t="shared" si="0"/>
        <v>0.94285714285714284</v>
      </c>
    </row>
    <row r="12" spans="1:4" x14ac:dyDescent="0.25">
      <c r="A12" s="8" t="s">
        <v>12</v>
      </c>
      <c r="B12" s="9">
        <v>74500</v>
      </c>
      <c r="C12" s="9">
        <v>300000</v>
      </c>
      <c r="D12" s="21">
        <f t="shared" si="0"/>
        <v>0.24833333333333332</v>
      </c>
    </row>
    <row r="13" spans="1:4" x14ac:dyDescent="0.25">
      <c r="A13" s="8" t="s">
        <v>13</v>
      </c>
      <c r="B13" s="9">
        <v>86684.85</v>
      </c>
      <c r="C13" s="9">
        <v>100000</v>
      </c>
      <c r="D13" s="21">
        <f t="shared" si="0"/>
        <v>0.86684850000000002</v>
      </c>
    </row>
    <row r="14" spans="1:4" x14ac:dyDescent="0.25">
      <c r="A14" s="8" t="s">
        <v>14</v>
      </c>
      <c r="B14" s="9">
        <v>697806.85</v>
      </c>
      <c r="C14" s="9">
        <v>910000</v>
      </c>
      <c r="D14" s="21">
        <f t="shared" si="0"/>
        <v>0.7668207142857143</v>
      </c>
    </row>
    <row r="15" spans="1:4" x14ac:dyDescent="0.25">
      <c r="A15" s="8" t="s">
        <v>122</v>
      </c>
      <c r="B15" s="9">
        <v>1308750</v>
      </c>
      <c r="C15" s="9">
        <v>1308750</v>
      </c>
      <c r="D15" s="21">
        <f t="shared" si="0"/>
        <v>1</v>
      </c>
    </row>
    <row r="16" spans="1:4" x14ac:dyDescent="0.25">
      <c r="A16" s="8" t="s">
        <v>15</v>
      </c>
      <c r="B16" s="9">
        <v>31000</v>
      </c>
      <c r="C16" s="9">
        <v>31000</v>
      </c>
      <c r="D16" s="21">
        <f t="shared" si="0"/>
        <v>1</v>
      </c>
    </row>
    <row r="17" spans="1:4" x14ac:dyDescent="0.25">
      <c r="A17" s="8" t="s">
        <v>16</v>
      </c>
      <c r="B17" s="9">
        <v>605475</v>
      </c>
      <c r="C17" s="9">
        <v>807300</v>
      </c>
      <c r="D17" s="21">
        <f t="shared" si="0"/>
        <v>0.75</v>
      </c>
    </row>
    <row r="18" spans="1:4" x14ac:dyDescent="0.25">
      <c r="A18" s="8" t="s">
        <v>18</v>
      </c>
      <c r="B18" s="9">
        <v>152513</v>
      </c>
      <c r="C18" s="9">
        <v>280000</v>
      </c>
      <c r="D18" s="21">
        <f t="shared" si="0"/>
        <v>0.54468928571428576</v>
      </c>
    </row>
    <row r="19" spans="1:4" x14ac:dyDescent="0.25">
      <c r="A19" s="8" t="s">
        <v>119</v>
      </c>
      <c r="B19" s="9">
        <v>8774052.2100000009</v>
      </c>
      <c r="C19" s="9">
        <v>9103946.9199999999</v>
      </c>
      <c r="D19" s="21">
        <f t="shared" si="0"/>
        <v>0.96376355080945497</v>
      </c>
    </row>
    <row r="20" spans="1:4" x14ac:dyDescent="0.25">
      <c r="A20" s="8" t="s">
        <v>17</v>
      </c>
      <c r="B20" s="9">
        <v>0</v>
      </c>
      <c r="C20" s="9">
        <v>668256</v>
      </c>
      <c r="D20" s="21">
        <f t="shared" si="0"/>
        <v>0</v>
      </c>
    </row>
    <row r="21" spans="1:4" x14ac:dyDescent="0.25">
      <c r="A21" s="8" t="s">
        <v>22</v>
      </c>
      <c r="B21" s="9">
        <v>1942296.5</v>
      </c>
      <c r="C21" s="9">
        <v>2144389</v>
      </c>
      <c r="D21" s="21">
        <f t="shared" si="0"/>
        <v>0.90575753746171983</v>
      </c>
    </row>
    <row r="22" spans="1:4" x14ac:dyDescent="0.25">
      <c r="A22" s="8" t="s">
        <v>123</v>
      </c>
      <c r="B22" s="9">
        <v>350000</v>
      </c>
      <c r="C22" s="9">
        <v>350000</v>
      </c>
      <c r="D22" s="21">
        <f t="shared" si="0"/>
        <v>1</v>
      </c>
    </row>
    <row r="23" spans="1:4" x14ac:dyDescent="0.25">
      <c r="A23" s="8" t="s">
        <v>19</v>
      </c>
      <c r="B23" s="9">
        <f>122650+5248+35687</f>
        <v>163585</v>
      </c>
      <c r="C23" s="9">
        <f>130000+46000+44000</f>
        <v>220000</v>
      </c>
      <c r="D23" s="21">
        <f t="shared" si="0"/>
        <v>0.74356818181818185</v>
      </c>
    </row>
    <row r="24" spans="1:4" x14ac:dyDescent="0.25">
      <c r="A24" s="8" t="s">
        <v>124</v>
      </c>
      <c r="B24" s="9">
        <v>95000</v>
      </c>
      <c r="C24" s="9">
        <v>95000</v>
      </c>
      <c r="D24" s="21">
        <f t="shared" si="0"/>
        <v>1</v>
      </c>
    </row>
    <row r="25" spans="1:4" x14ac:dyDescent="0.25">
      <c r="A25" s="8" t="s">
        <v>20</v>
      </c>
      <c r="B25" s="9">
        <v>0</v>
      </c>
      <c r="C25" s="9">
        <v>1100</v>
      </c>
      <c r="D25" s="21">
        <f t="shared" si="0"/>
        <v>0</v>
      </c>
    </row>
    <row r="26" spans="1:4" x14ac:dyDescent="0.25">
      <c r="A26" s="8" t="s">
        <v>21</v>
      </c>
      <c r="B26" s="9">
        <v>0</v>
      </c>
      <c r="C26" s="9">
        <v>5000</v>
      </c>
      <c r="D26" s="21">
        <f t="shared" si="0"/>
        <v>0</v>
      </c>
    </row>
    <row r="27" spans="1:4" x14ac:dyDescent="0.25">
      <c r="A27" s="8" t="s">
        <v>23</v>
      </c>
      <c r="B27" s="9">
        <v>19100</v>
      </c>
      <c r="C27" s="9">
        <v>43500</v>
      </c>
      <c r="D27" s="21">
        <f t="shared" si="0"/>
        <v>0.43908045977011495</v>
      </c>
    </row>
    <row r="28" spans="1:4" x14ac:dyDescent="0.25">
      <c r="A28" s="8" t="s">
        <v>24</v>
      </c>
      <c r="B28" s="9">
        <f>13388+81900+4900</f>
        <v>100188</v>
      </c>
      <c r="C28" s="9">
        <v>150000</v>
      </c>
      <c r="D28" s="21">
        <f t="shared" si="0"/>
        <v>0.66791999999999996</v>
      </c>
    </row>
    <row r="29" spans="1:4" x14ac:dyDescent="0.25">
      <c r="A29" s="8" t="s">
        <v>25</v>
      </c>
      <c r="B29" s="9">
        <f>2550+73160+3680+5465</f>
        <v>84855</v>
      </c>
      <c r="C29" s="9">
        <v>116500</v>
      </c>
      <c r="D29" s="21">
        <f t="shared" si="0"/>
        <v>0.72836909871244637</v>
      </c>
    </row>
    <row r="30" spans="1:4" x14ac:dyDescent="0.25">
      <c r="A30" s="8" t="s">
        <v>26</v>
      </c>
      <c r="B30" s="9">
        <v>7710</v>
      </c>
      <c r="C30" s="9">
        <v>10000</v>
      </c>
      <c r="D30" s="21">
        <f t="shared" si="0"/>
        <v>0.77100000000000002</v>
      </c>
    </row>
    <row r="31" spans="1:4" x14ac:dyDescent="0.25">
      <c r="A31" s="8" t="s">
        <v>27</v>
      </c>
      <c r="B31" s="9">
        <f>8240+112830+5500</f>
        <v>126570</v>
      </c>
      <c r="C31" s="9">
        <v>260000</v>
      </c>
      <c r="D31" s="21">
        <f t="shared" si="0"/>
        <v>0.48680769230769233</v>
      </c>
    </row>
    <row r="32" spans="1:4" x14ac:dyDescent="0.25">
      <c r="A32" s="8" t="s">
        <v>118</v>
      </c>
      <c r="B32" s="9">
        <v>1210</v>
      </c>
      <c r="C32" s="9">
        <v>1210</v>
      </c>
      <c r="D32" s="21">
        <f t="shared" si="0"/>
        <v>1</v>
      </c>
    </row>
    <row r="33" spans="1:10" x14ac:dyDescent="0.25">
      <c r="A33" s="8" t="s">
        <v>125</v>
      </c>
      <c r="B33" s="9">
        <v>35000</v>
      </c>
      <c r="C33" s="9">
        <v>35000</v>
      </c>
      <c r="D33" s="21">
        <f t="shared" si="0"/>
        <v>1</v>
      </c>
    </row>
    <row r="34" spans="1:10" x14ac:dyDescent="0.25">
      <c r="A34" s="8" t="s">
        <v>28</v>
      </c>
      <c r="B34" s="9">
        <v>62887</v>
      </c>
      <c r="C34" s="9">
        <v>65000</v>
      </c>
      <c r="D34" s="21">
        <f t="shared" si="0"/>
        <v>0.96749230769230765</v>
      </c>
    </row>
    <row r="35" spans="1:10" x14ac:dyDescent="0.25">
      <c r="A35" s="8" t="s">
        <v>110</v>
      </c>
      <c r="B35" s="9">
        <v>79914</v>
      </c>
      <c r="C35" s="9">
        <v>170000</v>
      </c>
      <c r="D35" s="21">
        <f t="shared" si="0"/>
        <v>0.47008235294117645</v>
      </c>
    </row>
    <row r="36" spans="1:10" x14ac:dyDescent="0.25">
      <c r="A36" s="8" t="s">
        <v>29</v>
      </c>
      <c r="B36" s="9">
        <v>0</v>
      </c>
      <c r="C36" s="9">
        <v>2000</v>
      </c>
      <c r="D36" s="21">
        <f t="shared" si="0"/>
        <v>0</v>
      </c>
    </row>
    <row r="37" spans="1:10" x14ac:dyDescent="0.25">
      <c r="A37" s="8" t="s">
        <v>30</v>
      </c>
      <c r="B37" s="9">
        <v>43902</v>
      </c>
      <c r="C37" s="9">
        <v>47000</v>
      </c>
      <c r="D37" s="21">
        <f t="shared" si="0"/>
        <v>0.9340851063829787</v>
      </c>
    </row>
    <row r="38" spans="1:10" x14ac:dyDescent="0.25">
      <c r="A38" s="8" t="s">
        <v>31</v>
      </c>
      <c r="B38" s="9">
        <v>32139</v>
      </c>
      <c r="C38" s="9">
        <v>32400</v>
      </c>
      <c r="D38" s="21">
        <f t="shared" si="0"/>
        <v>0.99194444444444441</v>
      </c>
    </row>
    <row r="39" spans="1:10" x14ac:dyDescent="0.25">
      <c r="A39" s="8" t="s">
        <v>32</v>
      </c>
      <c r="B39" s="9">
        <v>7500</v>
      </c>
      <c r="C39" s="9">
        <v>30000</v>
      </c>
      <c r="D39" s="21">
        <f t="shared" si="0"/>
        <v>0.25</v>
      </c>
    </row>
    <row r="40" spans="1:10" x14ac:dyDescent="0.25">
      <c r="A40" s="8" t="s">
        <v>35</v>
      </c>
      <c r="B40" s="9">
        <v>239649</v>
      </c>
      <c r="C40" s="9">
        <v>335000</v>
      </c>
      <c r="D40" s="21">
        <f t="shared" si="0"/>
        <v>0.71537014925373132</v>
      </c>
    </row>
    <row r="41" spans="1:10" x14ac:dyDescent="0.25">
      <c r="A41" s="8" t="s">
        <v>126</v>
      </c>
      <c r="B41" s="9">
        <v>50000</v>
      </c>
      <c r="C41" s="9">
        <v>50000</v>
      </c>
      <c r="D41" s="21">
        <f t="shared" si="0"/>
        <v>1</v>
      </c>
    </row>
    <row r="42" spans="1:10" x14ac:dyDescent="0.25">
      <c r="A42" s="8" t="s">
        <v>117</v>
      </c>
      <c r="B42" s="9">
        <v>21150</v>
      </c>
      <c r="C42" s="9">
        <v>22000</v>
      </c>
      <c r="D42" s="21">
        <v>0</v>
      </c>
    </row>
    <row r="43" spans="1:10" x14ac:dyDescent="0.25">
      <c r="A43" s="8" t="s">
        <v>33</v>
      </c>
      <c r="B43" s="9">
        <v>1600.5</v>
      </c>
      <c r="C43" s="9">
        <v>3000</v>
      </c>
      <c r="D43" s="21">
        <f t="shared" si="0"/>
        <v>0.53349999999999997</v>
      </c>
    </row>
    <row r="44" spans="1:10" x14ac:dyDescent="0.25">
      <c r="A44" s="8" t="s">
        <v>34</v>
      </c>
      <c r="B44" s="9">
        <v>813524</v>
      </c>
      <c r="C44" s="9">
        <v>813524</v>
      </c>
      <c r="D44" s="21">
        <f t="shared" si="0"/>
        <v>1</v>
      </c>
    </row>
    <row r="45" spans="1:10" x14ac:dyDescent="0.25">
      <c r="A45" s="17" t="s">
        <v>36</v>
      </c>
      <c r="B45" s="20">
        <f>SUM(B4:B44)</f>
        <v>27981910.780000001</v>
      </c>
      <c r="C45" s="16">
        <f>SUM(C4:C44)</f>
        <v>36990875.920000002</v>
      </c>
      <c r="D45" s="22">
        <f t="shared" si="0"/>
        <v>0.75645439812012971</v>
      </c>
      <c r="J45" s="26"/>
    </row>
    <row r="46" spans="1:10" x14ac:dyDescent="0.25">
      <c r="A46" s="7"/>
      <c r="B46" s="7"/>
      <c r="C46" s="7"/>
      <c r="D46" s="7"/>
    </row>
    <row r="47" spans="1:10" x14ac:dyDescent="0.25">
      <c r="A47" s="7"/>
      <c r="B47" s="7"/>
      <c r="C47" s="7"/>
      <c r="D47" s="7"/>
    </row>
    <row r="48" spans="1:10" x14ac:dyDescent="0.25">
      <c r="A48" s="11" t="s">
        <v>127</v>
      </c>
      <c r="B48" s="7"/>
      <c r="C48" s="7"/>
      <c r="D48" s="7"/>
    </row>
    <row r="49" spans="1:4" x14ac:dyDescent="0.25">
      <c r="A49" s="10" t="s">
        <v>37</v>
      </c>
      <c r="B49" s="12">
        <v>19</v>
      </c>
      <c r="C49" s="7"/>
      <c r="D49" s="7"/>
    </row>
    <row r="50" spans="1:4" x14ac:dyDescent="0.25">
      <c r="A50" s="10" t="s">
        <v>40</v>
      </c>
      <c r="B50" s="12">
        <v>3098902.53</v>
      </c>
      <c r="C50" s="7"/>
      <c r="D50" s="7"/>
    </row>
    <row r="51" spans="1:4" x14ac:dyDescent="0.25">
      <c r="A51" s="10" t="s">
        <v>38</v>
      </c>
      <c r="B51" s="12">
        <v>2615054.5699999998</v>
      </c>
      <c r="C51" s="7"/>
      <c r="D51" s="7"/>
    </row>
    <row r="52" spans="1:4" x14ac:dyDescent="0.25">
      <c r="A52" s="10" t="s">
        <v>41</v>
      </c>
      <c r="B52" s="12">
        <v>1415871.75</v>
      </c>
      <c r="C52" s="7"/>
      <c r="D52" s="7"/>
    </row>
    <row r="53" spans="1:4" x14ac:dyDescent="0.25">
      <c r="A53" s="10" t="s">
        <v>39</v>
      </c>
      <c r="B53" s="12">
        <v>8842695.1500000004</v>
      </c>
      <c r="C53" s="7"/>
      <c r="D53" s="7"/>
    </row>
    <row r="54" spans="1:4" x14ac:dyDescent="0.25">
      <c r="A54" s="13" t="s">
        <v>42</v>
      </c>
      <c r="B54" s="14">
        <f>SUM(B49:B53)</f>
        <v>15972543</v>
      </c>
      <c r="C54" s="7"/>
      <c r="D54" s="7"/>
    </row>
    <row r="55" spans="1:4" x14ac:dyDescent="0.25">
      <c r="A55" s="10"/>
      <c r="B55" s="12"/>
      <c r="C55" s="7"/>
      <c r="D55" s="7"/>
    </row>
    <row r="56" spans="1:4" x14ac:dyDescent="0.25">
      <c r="A56" s="10"/>
      <c r="B56" s="12"/>
      <c r="C56" s="7"/>
      <c r="D56" s="7"/>
    </row>
    <row r="57" spans="1:4" x14ac:dyDescent="0.25">
      <c r="A57" s="11" t="s">
        <v>130</v>
      </c>
      <c r="B57" s="12"/>
      <c r="C57" s="7"/>
      <c r="D57" s="7"/>
    </row>
    <row r="58" spans="1:4" x14ac:dyDescent="0.25">
      <c r="A58" s="10" t="s">
        <v>37</v>
      </c>
      <c r="B58" s="12">
        <v>17202</v>
      </c>
      <c r="C58" s="7"/>
      <c r="D58" s="7"/>
    </row>
    <row r="59" spans="1:4" x14ac:dyDescent="0.25">
      <c r="A59" s="10" t="s">
        <v>40</v>
      </c>
      <c r="B59" s="12">
        <v>7213094.4000000004</v>
      </c>
      <c r="C59" s="7"/>
      <c r="D59" s="7"/>
    </row>
    <row r="60" spans="1:4" x14ac:dyDescent="0.25">
      <c r="A60" s="10" t="s">
        <v>38</v>
      </c>
      <c r="B60" s="12">
        <v>1115708.31</v>
      </c>
      <c r="C60" s="7"/>
      <c r="D60" s="7"/>
    </row>
    <row r="61" spans="1:4" x14ac:dyDescent="0.25">
      <c r="A61" s="10" t="s">
        <v>41</v>
      </c>
      <c r="B61" s="12">
        <v>1416818.51</v>
      </c>
      <c r="C61" s="7"/>
      <c r="D61" s="7"/>
    </row>
    <row r="62" spans="1:4" x14ac:dyDescent="0.25">
      <c r="A62" s="10" t="s">
        <v>39</v>
      </c>
      <c r="B62" s="12">
        <v>1961786.16</v>
      </c>
      <c r="C62" s="7"/>
      <c r="D62" s="7"/>
    </row>
    <row r="63" spans="1:4" x14ac:dyDescent="0.25">
      <c r="A63" s="13" t="s">
        <v>42</v>
      </c>
      <c r="B63" s="14">
        <f>SUM(B58:B62)</f>
        <v>11724609.380000001</v>
      </c>
      <c r="C63" s="7"/>
      <c r="D63" s="7"/>
    </row>
    <row r="64" spans="1:4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72" spans="1:4" x14ac:dyDescent="0.25">
      <c r="A72" s="2"/>
      <c r="B72" s="2"/>
    </row>
    <row r="73" spans="1:4" x14ac:dyDescent="0.25">
      <c r="A73" s="3"/>
      <c r="B73" s="2"/>
    </row>
    <row r="74" spans="1:4" x14ac:dyDescent="0.25">
      <c r="A74" s="1"/>
      <c r="B74" s="2"/>
    </row>
    <row r="75" spans="1:4" x14ac:dyDescent="0.25">
      <c r="A75" s="1"/>
      <c r="B75" s="2"/>
    </row>
    <row r="76" spans="1:4" x14ac:dyDescent="0.25">
      <c r="A76" s="1"/>
      <c r="B76" s="2"/>
    </row>
    <row r="77" spans="1:4" x14ac:dyDescent="0.25">
      <c r="A77" s="1"/>
      <c r="B77" s="2"/>
    </row>
    <row r="78" spans="1:4" x14ac:dyDescent="0.25">
      <c r="A78" s="1"/>
      <c r="B78" s="2"/>
    </row>
    <row r="79" spans="1:4" x14ac:dyDescent="0.25">
      <c r="A79" s="1"/>
      <c r="B79" s="2"/>
    </row>
    <row r="80" spans="1:4" x14ac:dyDescent="0.25">
      <c r="A80" s="4"/>
      <c r="B80" s="2"/>
    </row>
    <row r="81" spans="1:2" x14ac:dyDescent="0.25">
      <c r="A81" s="4"/>
      <c r="B81" s="2"/>
    </row>
    <row r="82" spans="1:2" x14ac:dyDescent="0.25">
      <c r="A82" s="4"/>
      <c r="B82" s="2"/>
    </row>
    <row r="83" spans="1:2" x14ac:dyDescent="0.25">
      <c r="A83" s="5"/>
      <c r="B83" s="2"/>
    </row>
    <row r="84" spans="1:2" x14ac:dyDescent="0.25">
      <c r="A84" s="5"/>
      <c r="B84" s="2"/>
    </row>
    <row r="85" spans="1:2" x14ac:dyDescent="0.25">
      <c r="A85" s="5"/>
      <c r="B85" s="2"/>
    </row>
    <row r="86" spans="1:2" x14ac:dyDescent="0.25">
      <c r="A86" s="5"/>
      <c r="B86" s="2"/>
    </row>
    <row r="87" spans="1:2" x14ac:dyDescent="0.25">
      <c r="A87" s="5"/>
      <c r="B87" s="2"/>
    </row>
    <row r="88" spans="1:2" x14ac:dyDescent="0.25">
      <c r="A88" s="5"/>
      <c r="B88" s="2"/>
    </row>
    <row r="89" spans="1:2" x14ac:dyDescent="0.25">
      <c r="A89" s="4"/>
      <c r="B89" s="2"/>
    </row>
    <row r="90" spans="1:2" x14ac:dyDescent="0.25">
      <c r="A90" s="2"/>
      <c r="B90" s="2"/>
    </row>
  </sheetData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7"/>
  <sheetViews>
    <sheetView tabSelected="1" topLeftCell="A97" workbookViewId="0">
      <selection activeCell="G125" sqref="G125"/>
    </sheetView>
  </sheetViews>
  <sheetFormatPr defaultRowHeight="15" x14ac:dyDescent="0.25"/>
  <cols>
    <col min="1" max="1" width="65.7109375" customWidth="1"/>
    <col min="2" max="2" width="18.85546875" customWidth="1"/>
    <col min="3" max="3" width="20.7109375" customWidth="1"/>
    <col min="4" max="4" width="14.140625" customWidth="1"/>
  </cols>
  <sheetData>
    <row r="1" spans="1:4" x14ac:dyDescent="0.25">
      <c r="A1" s="6" t="s">
        <v>131</v>
      </c>
    </row>
    <row r="3" spans="1:4" x14ac:dyDescent="0.25">
      <c r="A3" s="18" t="s">
        <v>43</v>
      </c>
      <c r="B3" s="19" t="s">
        <v>1</v>
      </c>
      <c r="C3" s="19" t="s">
        <v>109</v>
      </c>
      <c r="D3" s="19" t="s">
        <v>107</v>
      </c>
    </row>
    <row r="4" spans="1:4" x14ac:dyDescent="0.25">
      <c r="A4" s="8" t="s">
        <v>44</v>
      </c>
      <c r="B4" s="9">
        <v>0</v>
      </c>
      <c r="C4" s="9">
        <v>10000</v>
      </c>
      <c r="D4" s="21">
        <f>B4/C4</f>
        <v>0</v>
      </c>
    </row>
    <row r="5" spans="1:4" x14ac:dyDescent="0.25">
      <c r="A5" s="8" t="s">
        <v>45</v>
      </c>
      <c r="B5" s="9">
        <v>120725.02</v>
      </c>
      <c r="C5" s="9">
        <v>121000</v>
      </c>
      <c r="D5" s="21">
        <f t="shared" ref="D5:D76" si="0">B5/C5</f>
        <v>0.99772743801652897</v>
      </c>
    </row>
    <row r="6" spans="1:4" x14ac:dyDescent="0.25">
      <c r="A6" s="15" t="s">
        <v>46</v>
      </c>
      <c r="B6" s="16">
        <f>SUM(B4:B5)</f>
        <v>120725.02</v>
      </c>
      <c r="C6" s="16">
        <f>SUM(C4:C5)</f>
        <v>131000</v>
      </c>
      <c r="D6" s="22">
        <f t="shared" si="0"/>
        <v>0.921565038167939</v>
      </c>
    </row>
    <row r="7" spans="1:4" x14ac:dyDescent="0.25">
      <c r="A7" s="8" t="s">
        <v>132</v>
      </c>
      <c r="B7" s="9">
        <f>91650+22729.45+8247</f>
        <v>122626.45</v>
      </c>
      <c r="C7" s="9">
        <f>77000+19000+7200</f>
        <v>103200</v>
      </c>
      <c r="D7" s="21">
        <f t="shared" si="0"/>
        <v>1.1882407945736433</v>
      </c>
    </row>
    <row r="8" spans="1:4" x14ac:dyDescent="0.25">
      <c r="A8" s="8" t="s">
        <v>128</v>
      </c>
      <c r="B8" s="9">
        <f>36009.6+2573</f>
        <v>38582.6</v>
      </c>
      <c r="C8" s="9">
        <f>43000</f>
        <v>43000</v>
      </c>
      <c r="D8" s="21">
        <f t="shared" si="0"/>
        <v>0.89726976744186038</v>
      </c>
    </row>
    <row r="9" spans="1:4" x14ac:dyDescent="0.25">
      <c r="A9" s="8" t="s">
        <v>47</v>
      </c>
      <c r="B9" s="9">
        <v>17151.75</v>
      </c>
      <c r="C9" s="9">
        <v>171000</v>
      </c>
      <c r="D9" s="21">
        <f t="shared" si="0"/>
        <v>0.10030263157894737</v>
      </c>
    </row>
    <row r="10" spans="1:4" x14ac:dyDescent="0.25">
      <c r="A10" s="8" t="s">
        <v>48</v>
      </c>
      <c r="B10" s="9">
        <v>2307206.7400000002</v>
      </c>
      <c r="C10" s="9">
        <v>8909000</v>
      </c>
      <c r="D10" s="21">
        <f t="shared" si="0"/>
        <v>0.2589748277023235</v>
      </c>
    </row>
    <row r="11" spans="1:4" x14ac:dyDescent="0.25">
      <c r="A11" s="15" t="s">
        <v>49</v>
      </c>
      <c r="B11" s="16">
        <f>SUM(B7:B10)</f>
        <v>2485567.54</v>
      </c>
      <c r="C11" s="16">
        <f>SUM(C7:C10)</f>
        <v>9226200</v>
      </c>
      <c r="D11" s="22">
        <f t="shared" si="0"/>
        <v>0.26940317140317793</v>
      </c>
    </row>
    <row r="12" spans="1:4" x14ac:dyDescent="0.25">
      <c r="A12" s="8" t="s">
        <v>129</v>
      </c>
      <c r="B12" s="9">
        <v>8470</v>
      </c>
      <c r="C12" s="9">
        <v>20000</v>
      </c>
      <c r="D12" s="21">
        <f t="shared" si="0"/>
        <v>0.42349999999999999</v>
      </c>
    </row>
    <row r="13" spans="1:4" x14ac:dyDescent="0.25">
      <c r="A13" s="8" t="s">
        <v>111</v>
      </c>
      <c r="B13" s="9">
        <f>421006.45+4960974.76+8724472.85</f>
        <v>14106454.059999999</v>
      </c>
      <c r="C13" s="9">
        <f>448000+4960974.76+8728149.24</f>
        <v>14137124</v>
      </c>
      <c r="D13" s="21">
        <f t="shared" ref="D13" si="1">B13/C13</f>
        <v>0.9978305389413008</v>
      </c>
    </row>
    <row r="14" spans="1:4" x14ac:dyDescent="0.25">
      <c r="A14" s="8" t="s">
        <v>65</v>
      </c>
      <c r="B14" s="9">
        <v>32600</v>
      </c>
      <c r="C14" s="9">
        <v>33000</v>
      </c>
      <c r="D14" s="21">
        <f t="shared" si="0"/>
        <v>0.98787878787878791</v>
      </c>
    </row>
    <row r="15" spans="1:4" x14ac:dyDescent="0.25">
      <c r="A15" s="8" t="s">
        <v>61</v>
      </c>
      <c r="B15" s="9">
        <v>1941</v>
      </c>
      <c r="C15" s="9">
        <v>2000</v>
      </c>
      <c r="D15" s="21">
        <f t="shared" si="0"/>
        <v>0.97050000000000003</v>
      </c>
    </row>
    <row r="16" spans="1:4" x14ac:dyDescent="0.25">
      <c r="A16" s="8" t="s">
        <v>47</v>
      </c>
      <c r="B16" s="9">
        <v>1752382.41</v>
      </c>
      <c r="C16" s="9">
        <v>2300000</v>
      </c>
      <c r="D16" s="21">
        <f t="shared" si="0"/>
        <v>0.76190539565217386</v>
      </c>
    </row>
    <row r="17" spans="1:4" x14ac:dyDescent="0.25">
      <c r="A17" s="8" t="s">
        <v>133</v>
      </c>
      <c r="B17" s="9">
        <v>720</v>
      </c>
      <c r="C17" s="9">
        <v>800</v>
      </c>
      <c r="D17" s="21">
        <f t="shared" si="0"/>
        <v>0.9</v>
      </c>
    </row>
    <row r="18" spans="1:4" x14ac:dyDescent="0.25">
      <c r="A18" s="15" t="s">
        <v>74</v>
      </c>
      <c r="B18" s="16">
        <f>SUM(B12:B17)</f>
        <v>15902567.469999999</v>
      </c>
      <c r="C18" s="16">
        <f>SUM(C12:C17)</f>
        <v>16492924</v>
      </c>
      <c r="D18" s="22">
        <f t="shared" si="0"/>
        <v>0.96420546593193535</v>
      </c>
    </row>
    <row r="19" spans="1:4" x14ac:dyDescent="0.25">
      <c r="A19" s="8" t="s">
        <v>50</v>
      </c>
      <c r="B19" s="9">
        <f>11034+16997</f>
        <v>28031</v>
      </c>
      <c r="C19" s="9">
        <f>22000+40000</f>
        <v>62000</v>
      </c>
      <c r="D19" s="21">
        <f t="shared" si="0"/>
        <v>0.45211290322580644</v>
      </c>
    </row>
    <row r="20" spans="1:4" x14ac:dyDescent="0.25">
      <c r="A20" s="8" t="s">
        <v>51</v>
      </c>
      <c r="B20" s="9">
        <v>62436.02</v>
      </c>
      <c r="C20" s="9">
        <v>112000</v>
      </c>
      <c r="D20" s="21">
        <f t="shared" si="0"/>
        <v>0.55746446428571428</v>
      </c>
    </row>
    <row r="21" spans="1:4" x14ac:dyDescent="0.25">
      <c r="A21" s="8" t="s">
        <v>52</v>
      </c>
      <c r="B21" s="9">
        <v>2518.85</v>
      </c>
      <c r="C21" s="9">
        <v>39000</v>
      </c>
      <c r="D21" s="21">
        <f t="shared" si="0"/>
        <v>6.4585897435897432E-2</v>
      </c>
    </row>
    <row r="22" spans="1:4" x14ac:dyDescent="0.25">
      <c r="A22" s="8" t="s">
        <v>53</v>
      </c>
      <c r="B22" s="9">
        <f>6523+24859</f>
        <v>31382</v>
      </c>
      <c r="C22" s="9">
        <f>6600+24900</f>
        <v>31500</v>
      </c>
      <c r="D22" s="21">
        <f t="shared" si="0"/>
        <v>0.99625396825396828</v>
      </c>
    </row>
    <row r="23" spans="1:4" x14ac:dyDescent="0.25">
      <c r="A23" s="8" t="s">
        <v>47</v>
      </c>
      <c r="B23" s="9">
        <f>1656+12926+416+2653.5+1024.5+968</f>
        <v>19644</v>
      </c>
      <c r="C23" s="9">
        <f>5000+2000+1000+13000+1500+5000</f>
        <v>27500</v>
      </c>
      <c r="D23" s="21">
        <f t="shared" si="0"/>
        <v>0.7143272727272727</v>
      </c>
    </row>
    <row r="24" spans="1:4" x14ac:dyDescent="0.25">
      <c r="A24" s="8" t="s">
        <v>55</v>
      </c>
      <c r="B24" s="9">
        <v>1000000</v>
      </c>
      <c r="C24" s="9">
        <v>2880000</v>
      </c>
      <c r="D24" s="21">
        <f t="shared" si="0"/>
        <v>0.34722222222222221</v>
      </c>
    </row>
    <row r="25" spans="1:4" x14ac:dyDescent="0.25">
      <c r="A25" s="15" t="s">
        <v>56</v>
      </c>
      <c r="B25" s="16">
        <f>SUM(B19:B24)</f>
        <v>1144011.8700000001</v>
      </c>
      <c r="C25" s="16">
        <f>SUM(C19:C24)</f>
        <v>3152000</v>
      </c>
      <c r="D25" s="22">
        <f t="shared" si="0"/>
        <v>0.36294792829949241</v>
      </c>
    </row>
    <row r="26" spans="1:4" x14ac:dyDescent="0.25">
      <c r="A26" s="15" t="s">
        <v>57</v>
      </c>
      <c r="B26" s="16">
        <f>5200+1370+3000</f>
        <v>9570</v>
      </c>
      <c r="C26" s="16">
        <v>15500</v>
      </c>
      <c r="D26" s="22">
        <f t="shared" si="0"/>
        <v>0.61741935483870969</v>
      </c>
    </row>
    <row r="27" spans="1:4" x14ac:dyDescent="0.25">
      <c r="A27" s="15" t="s">
        <v>112</v>
      </c>
      <c r="B27" s="16">
        <v>140</v>
      </c>
      <c r="C27" s="16">
        <v>200</v>
      </c>
      <c r="D27" s="22">
        <f t="shared" si="0"/>
        <v>0.7</v>
      </c>
    </row>
    <row r="28" spans="1:4" x14ac:dyDescent="0.25">
      <c r="A28" s="15" t="s">
        <v>58</v>
      </c>
      <c r="B28" s="16">
        <v>0</v>
      </c>
      <c r="C28" s="16">
        <v>84000</v>
      </c>
      <c r="D28" s="22">
        <f t="shared" si="0"/>
        <v>0</v>
      </c>
    </row>
    <row r="29" spans="1:4" x14ac:dyDescent="0.25">
      <c r="A29" s="15" t="s">
        <v>59</v>
      </c>
      <c r="B29" s="16">
        <v>810</v>
      </c>
      <c r="C29" s="16">
        <v>16500</v>
      </c>
      <c r="D29" s="22">
        <f t="shared" si="0"/>
        <v>4.9090909090909088E-2</v>
      </c>
    </row>
    <row r="30" spans="1:4" x14ac:dyDescent="0.25">
      <c r="A30" s="15" t="s">
        <v>60</v>
      </c>
      <c r="B30" s="16">
        <f>8741+5000+8692+32000+6400</f>
        <v>60833</v>
      </c>
      <c r="C30" s="16">
        <f>30000+25000+8000+15000+7000+32000+25000</f>
        <v>142000</v>
      </c>
      <c r="D30" s="22">
        <f t="shared" si="0"/>
        <v>0.42840140845070424</v>
      </c>
    </row>
    <row r="31" spans="1:4" x14ac:dyDescent="0.25">
      <c r="A31" s="8" t="s">
        <v>65</v>
      </c>
      <c r="B31" s="9">
        <f>108580+26623.1+9661.83+123.48</f>
        <v>144988.41</v>
      </c>
      <c r="C31" s="9">
        <f>150000+37500+13500+500</f>
        <v>201500</v>
      </c>
      <c r="D31" s="21">
        <f t="shared" si="0"/>
        <v>0.71954545905707201</v>
      </c>
    </row>
    <row r="32" spans="1:4" x14ac:dyDescent="0.25">
      <c r="A32" s="8" t="s">
        <v>113</v>
      </c>
      <c r="B32" s="9">
        <f>1758.58+2381</f>
        <v>4139.58</v>
      </c>
      <c r="C32" s="9">
        <v>17000</v>
      </c>
      <c r="D32" s="21">
        <f t="shared" si="0"/>
        <v>0.24350470588235293</v>
      </c>
    </row>
    <row r="33" spans="1:4" x14ac:dyDescent="0.25">
      <c r="A33" s="8" t="s">
        <v>50</v>
      </c>
      <c r="B33" s="9">
        <v>5663</v>
      </c>
      <c r="C33" s="9">
        <v>15000</v>
      </c>
      <c r="D33" s="21">
        <f t="shared" si="0"/>
        <v>0.37753333333333333</v>
      </c>
    </row>
    <row r="34" spans="1:4" x14ac:dyDescent="0.25">
      <c r="A34" s="8" t="s">
        <v>61</v>
      </c>
      <c r="B34" s="9">
        <v>2497</v>
      </c>
      <c r="C34" s="9">
        <v>3000</v>
      </c>
      <c r="D34" s="21">
        <f t="shared" si="0"/>
        <v>0.83233333333333337</v>
      </c>
    </row>
    <row r="35" spans="1:4" x14ac:dyDescent="0.25">
      <c r="A35" s="8" t="s">
        <v>62</v>
      </c>
      <c r="B35" s="9">
        <f>2076+5619.45</f>
        <v>7695.45</v>
      </c>
      <c r="C35" s="9">
        <v>14500</v>
      </c>
      <c r="D35" s="21">
        <f t="shared" si="0"/>
        <v>0.53072068965517238</v>
      </c>
    </row>
    <row r="36" spans="1:4" x14ac:dyDescent="0.25">
      <c r="A36" s="8" t="s">
        <v>54</v>
      </c>
      <c r="B36" s="9">
        <v>2224.89</v>
      </c>
      <c r="C36" s="9">
        <v>20000</v>
      </c>
      <c r="D36" s="21">
        <f t="shared" si="0"/>
        <v>0.1112445</v>
      </c>
    </row>
    <row r="37" spans="1:4" x14ac:dyDescent="0.25">
      <c r="A37" s="8" t="s">
        <v>63</v>
      </c>
      <c r="B37" s="9">
        <v>50000</v>
      </c>
      <c r="C37" s="9">
        <v>50000</v>
      </c>
      <c r="D37" s="21">
        <f t="shared" si="0"/>
        <v>1</v>
      </c>
    </row>
    <row r="38" spans="1:4" x14ac:dyDescent="0.25">
      <c r="A38" s="8" t="s">
        <v>63</v>
      </c>
      <c r="B38" s="9">
        <v>43560</v>
      </c>
      <c r="C38" s="9">
        <v>50000</v>
      </c>
      <c r="D38" s="21">
        <f t="shared" si="0"/>
        <v>0.87119999999999997</v>
      </c>
    </row>
    <row r="39" spans="1:4" x14ac:dyDescent="0.25">
      <c r="A39" s="15" t="s">
        <v>64</v>
      </c>
      <c r="B39" s="16">
        <f>SUM(B31:B38)</f>
        <v>260768.33000000002</v>
      </c>
      <c r="C39" s="16">
        <f>SUM(C31:C38)</f>
        <v>371000</v>
      </c>
      <c r="D39" s="22">
        <f t="shared" si="0"/>
        <v>0.7028795956873316</v>
      </c>
    </row>
    <row r="40" spans="1:4" x14ac:dyDescent="0.25">
      <c r="A40" s="15" t="s">
        <v>66</v>
      </c>
      <c r="B40" s="16">
        <v>140000</v>
      </c>
      <c r="C40" s="16">
        <v>561750</v>
      </c>
      <c r="D40" s="22">
        <f t="shared" si="0"/>
        <v>0.24922118380062305</v>
      </c>
    </row>
    <row r="41" spans="1:4" x14ac:dyDescent="0.25">
      <c r="A41" s="15" t="s">
        <v>67</v>
      </c>
      <c r="B41" s="16">
        <v>0</v>
      </c>
      <c r="C41" s="16">
        <v>15000</v>
      </c>
      <c r="D41" s="22">
        <f t="shared" si="0"/>
        <v>0</v>
      </c>
    </row>
    <row r="42" spans="1:4" x14ac:dyDescent="0.25">
      <c r="A42" s="8" t="s">
        <v>71</v>
      </c>
      <c r="B42" s="9">
        <v>29983.18</v>
      </c>
      <c r="C42" s="9">
        <v>76000</v>
      </c>
      <c r="D42" s="21">
        <f t="shared" si="0"/>
        <v>0.39451552631578946</v>
      </c>
    </row>
    <row r="43" spans="1:4" x14ac:dyDescent="0.25">
      <c r="A43" s="8" t="s">
        <v>50</v>
      </c>
      <c r="B43" s="9">
        <v>31926</v>
      </c>
      <c r="C43" s="9">
        <v>32000</v>
      </c>
      <c r="D43" s="21">
        <f t="shared" si="0"/>
        <v>0.99768749999999995</v>
      </c>
    </row>
    <row r="44" spans="1:4" x14ac:dyDescent="0.25">
      <c r="A44" s="8" t="s">
        <v>61</v>
      </c>
      <c r="B44" s="9">
        <v>1941</v>
      </c>
      <c r="C44" s="9">
        <v>2000</v>
      </c>
      <c r="D44" s="21">
        <f t="shared" si="0"/>
        <v>0.97050000000000003</v>
      </c>
    </row>
    <row r="45" spans="1:4" x14ac:dyDescent="0.25">
      <c r="A45" s="8" t="s">
        <v>68</v>
      </c>
      <c r="B45" s="9">
        <f>682.87+373.89</f>
        <v>1056.76</v>
      </c>
      <c r="C45" s="9">
        <v>19000</v>
      </c>
      <c r="D45" s="21">
        <f t="shared" si="0"/>
        <v>5.5618947368421053E-2</v>
      </c>
    </row>
    <row r="46" spans="1:4" x14ac:dyDescent="0.25">
      <c r="A46" s="8" t="s">
        <v>69</v>
      </c>
      <c r="B46" s="9">
        <v>5479</v>
      </c>
      <c r="C46" s="9">
        <v>11000</v>
      </c>
      <c r="D46" s="21">
        <f t="shared" si="0"/>
        <v>0.49809090909090908</v>
      </c>
    </row>
    <row r="47" spans="1:4" x14ac:dyDescent="0.25">
      <c r="A47" s="15" t="s">
        <v>70</v>
      </c>
      <c r="B47" s="16">
        <f>SUM(B42:B46)</f>
        <v>70385.94</v>
      </c>
      <c r="C47" s="16">
        <f>SUM(C42:C46)</f>
        <v>140000</v>
      </c>
      <c r="D47" s="22">
        <f t="shared" si="0"/>
        <v>0.50275671428571433</v>
      </c>
    </row>
    <row r="48" spans="1:4" x14ac:dyDescent="0.25">
      <c r="A48" s="8" t="s">
        <v>71</v>
      </c>
      <c r="B48" s="9">
        <v>179939.24</v>
      </c>
      <c r="C48" s="9">
        <v>230000</v>
      </c>
      <c r="D48" s="21">
        <f t="shared" si="0"/>
        <v>0.78234452173913038</v>
      </c>
    </row>
    <row r="49" spans="1:4" x14ac:dyDescent="0.25">
      <c r="A49" s="8" t="s">
        <v>61</v>
      </c>
      <c r="B49" s="9">
        <v>699</v>
      </c>
      <c r="C49" s="9">
        <v>700</v>
      </c>
      <c r="D49" s="21">
        <f t="shared" si="0"/>
        <v>0.99857142857142855</v>
      </c>
    </row>
    <row r="50" spans="1:4" x14ac:dyDescent="0.25">
      <c r="A50" s="8" t="s">
        <v>47</v>
      </c>
      <c r="B50" s="9">
        <v>0</v>
      </c>
      <c r="C50" s="9">
        <v>70000</v>
      </c>
      <c r="D50" s="21">
        <f t="shared" si="0"/>
        <v>0</v>
      </c>
    </row>
    <row r="51" spans="1:4" x14ac:dyDescent="0.25">
      <c r="A51" s="8" t="s">
        <v>54</v>
      </c>
      <c r="B51" s="9">
        <v>49238</v>
      </c>
      <c r="C51" s="9">
        <v>150000</v>
      </c>
      <c r="D51" s="21">
        <f t="shared" si="0"/>
        <v>0.32825333333333334</v>
      </c>
    </row>
    <row r="52" spans="1:4" x14ac:dyDescent="0.25">
      <c r="A52" s="15" t="s">
        <v>72</v>
      </c>
      <c r="B52" s="16">
        <f>SUM(B48:B51)</f>
        <v>229876.24</v>
      </c>
      <c r="C52" s="16">
        <f>SUM(C48:C51)</f>
        <v>450700</v>
      </c>
      <c r="D52" s="22">
        <f t="shared" si="0"/>
        <v>0.51004268915021078</v>
      </c>
    </row>
    <row r="53" spans="1:4" x14ac:dyDescent="0.25">
      <c r="A53" s="15" t="s">
        <v>73</v>
      </c>
      <c r="B53" s="16">
        <f>28475+6448.08+2340.07+43.86+629+1392+15246</f>
        <v>54574.01</v>
      </c>
      <c r="C53" s="16">
        <f>50000+12500+4500+200+4000+5000+3000+15500</f>
        <v>94700</v>
      </c>
      <c r="D53" s="22">
        <f t="shared" si="0"/>
        <v>0.57628310454065468</v>
      </c>
    </row>
    <row r="54" spans="1:4" x14ac:dyDescent="0.25">
      <c r="A54" s="15" t="s">
        <v>114</v>
      </c>
      <c r="B54" s="16">
        <v>22000</v>
      </c>
      <c r="C54" s="16">
        <v>203500</v>
      </c>
      <c r="D54" s="22">
        <f t="shared" ref="D54" si="2">B54/C54</f>
        <v>0.10810810810810811</v>
      </c>
    </row>
    <row r="55" spans="1:4" x14ac:dyDescent="0.25">
      <c r="A55" s="8" t="s">
        <v>50</v>
      </c>
      <c r="B55" s="9">
        <v>12983</v>
      </c>
      <c r="C55" s="9">
        <v>29000</v>
      </c>
      <c r="D55" s="21">
        <f t="shared" si="0"/>
        <v>0.44768965517241377</v>
      </c>
    </row>
    <row r="56" spans="1:4" x14ac:dyDescent="0.25">
      <c r="A56" s="8" t="s">
        <v>71</v>
      </c>
      <c r="B56" s="9">
        <v>9632.85</v>
      </c>
      <c r="C56" s="9">
        <v>50000</v>
      </c>
      <c r="D56" s="21">
        <f t="shared" si="0"/>
        <v>0.19265699999999999</v>
      </c>
    </row>
    <row r="57" spans="1:4" x14ac:dyDescent="0.25">
      <c r="A57" s="8" t="s">
        <v>133</v>
      </c>
      <c r="B57" s="9">
        <v>148</v>
      </c>
      <c r="C57" s="9">
        <v>200</v>
      </c>
      <c r="D57" s="21">
        <f t="shared" si="0"/>
        <v>0.74</v>
      </c>
    </row>
    <row r="58" spans="1:4" x14ac:dyDescent="0.25">
      <c r="A58" s="8" t="s">
        <v>61</v>
      </c>
      <c r="B58" s="9">
        <v>1679</v>
      </c>
      <c r="C58" s="9">
        <v>1700</v>
      </c>
      <c r="D58" s="21">
        <f t="shared" si="0"/>
        <v>0.98764705882352943</v>
      </c>
    </row>
    <row r="59" spans="1:4" x14ac:dyDescent="0.25">
      <c r="A59" s="8" t="s">
        <v>47</v>
      </c>
      <c r="B59" s="9">
        <v>978.29</v>
      </c>
      <c r="C59" s="9">
        <v>4000</v>
      </c>
      <c r="D59" s="21">
        <f t="shared" si="0"/>
        <v>0.2445725</v>
      </c>
    </row>
    <row r="60" spans="1:4" x14ac:dyDescent="0.25">
      <c r="A60" s="8"/>
      <c r="B60" s="9">
        <v>0</v>
      </c>
      <c r="C60" s="9">
        <v>55000</v>
      </c>
      <c r="D60" s="21">
        <f t="shared" si="0"/>
        <v>0</v>
      </c>
    </row>
    <row r="61" spans="1:4" x14ac:dyDescent="0.25">
      <c r="A61" s="8" t="s">
        <v>54</v>
      </c>
      <c r="B61" s="9">
        <v>0</v>
      </c>
      <c r="C61" s="9">
        <v>5000</v>
      </c>
      <c r="D61" s="21">
        <f t="shared" si="0"/>
        <v>0</v>
      </c>
    </row>
    <row r="62" spans="1:4" x14ac:dyDescent="0.25">
      <c r="A62" s="8" t="s">
        <v>135</v>
      </c>
      <c r="B62" s="9">
        <v>1060983.8799999999</v>
      </c>
      <c r="C62" s="9">
        <v>4295000</v>
      </c>
      <c r="D62" s="21">
        <f t="shared" si="0"/>
        <v>0.2470276786961583</v>
      </c>
    </row>
    <row r="63" spans="1:4" x14ac:dyDescent="0.25">
      <c r="A63" s="8" t="s">
        <v>134</v>
      </c>
      <c r="B63" s="9">
        <v>0</v>
      </c>
      <c r="C63" s="9">
        <v>46000</v>
      </c>
      <c r="D63" s="21">
        <f t="shared" si="0"/>
        <v>0</v>
      </c>
    </row>
    <row r="64" spans="1:4" x14ac:dyDescent="0.25">
      <c r="A64" s="15" t="s">
        <v>75</v>
      </c>
      <c r="B64" s="16">
        <f>SUM(B55:B63)</f>
        <v>1086405.0199999998</v>
      </c>
      <c r="C64" s="16">
        <f>SUM(C55:C63)</f>
        <v>4485900</v>
      </c>
      <c r="D64" s="22">
        <f t="shared" si="0"/>
        <v>0.24218217526025987</v>
      </c>
    </row>
    <row r="65" spans="1:4" x14ac:dyDescent="0.25">
      <c r="A65" s="8" t="s">
        <v>120</v>
      </c>
      <c r="B65" s="9">
        <v>97915.75</v>
      </c>
      <c r="C65" s="9">
        <v>98000</v>
      </c>
      <c r="D65" s="21">
        <f t="shared" si="0"/>
        <v>0.99914030612244897</v>
      </c>
    </row>
    <row r="66" spans="1:4" x14ac:dyDescent="0.25">
      <c r="A66" s="8" t="s">
        <v>54</v>
      </c>
      <c r="B66" s="9">
        <v>39771</v>
      </c>
      <c r="C66" s="9">
        <v>80000</v>
      </c>
      <c r="D66" s="21">
        <f t="shared" si="0"/>
        <v>0.49713750000000001</v>
      </c>
    </row>
    <row r="67" spans="1:4" x14ac:dyDescent="0.25">
      <c r="A67" s="8" t="s">
        <v>136</v>
      </c>
      <c r="B67" s="9">
        <v>0</v>
      </c>
      <c r="C67" s="9">
        <v>30000</v>
      </c>
      <c r="D67" s="21">
        <f t="shared" ref="D67" si="3">B67/C67</f>
        <v>0</v>
      </c>
    </row>
    <row r="68" spans="1:4" x14ac:dyDescent="0.25">
      <c r="A68" s="15" t="s">
        <v>121</v>
      </c>
      <c r="B68" s="16">
        <f>SUM(B65:B67)</f>
        <v>137686.75</v>
      </c>
      <c r="C68" s="16">
        <f>SUM(C65:C67)</f>
        <v>208000</v>
      </c>
      <c r="D68" s="22">
        <f t="shared" si="0"/>
        <v>0.66195552884615383</v>
      </c>
    </row>
    <row r="69" spans="1:4" x14ac:dyDescent="0.25">
      <c r="A69" s="23" t="s">
        <v>115</v>
      </c>
      <c r="B69" s="24">
        <v>5840.67</v>
      </c>
      <c r="C69" s="24">
        <v>14000</v>
      </c>
      <c r="D69" s="25">
        <f t="shared" si="0"/>
        <v>0.4171907142857143</v>
      </c>
    </row>
    <row r="70" spans="1:4" x14ac:dyDescent="0.25">
      <c r="A70" s="8" t="s">
        <v>77</v>
      </c>
      <c r="B70" s="9">
        <f>3713+920.82+333.68+62.84</f>
        <v>5030.34</v>
      </c>
      <c r="C70" s="9">
        <v>8200</v>
      </c>
      <c r="D70" s="21">
        <f t="shared" si="0"/>
        <v>0.61345609756097563</v>
      </c>
    </row>
    <row r="71" spans="1:4" x14ac:dyDescent="0.25">
      <c r="A71" s="8" t="s">
        <v>78</v>
      </c>
      <c r="B71" s="9">
        <f>5599.9+743</f>
        <v>6342.9</v>
      </c>
      <c r="C71" s="9">
        <f>18000+1000</f>
        <v>19000</v>
      </c>
      <c r="D71" s="21">
        <f t="shared" si="0"/>
        <v>0.33383684210526315</v>
      </c>
    </row>
    <row r="72" spans="1:4" x14ac:dyDescent="0.25">
      <c r="A72" s="8" t="s">
        <v>80</v>
      </c>
      <c r="B72" s="9">
        <v>381281.1</v>
      </c>
      <c r="C72" s="9">
        <v>900000</v>
      </c>
      <c r="D72" s="21">
        <f t="shared" si="0"/>
        <v>0.42364566666666664</v>
      </c>
    </row>
    <row r="73" spans="1:4" x14ac:dyDescent="0.25">
      <c r="A73" s="15" t="s">
        <v>76</v>
      </c>
      <c r="B73" s="16">
        <f>SUM(B70:B72)</f>
        <v>392654.33999999997</v>
      </c>
      <c r="C73" s="16">
        <f>SUM(C70:C72)</f>
        <v>927200</v>
      </c>
      <c r="D73" s="22">
        <f t="shared" si="0"/>
        <v>0.42348397325280412</v>
      </c>
    </row>
    <row r="74" spans="1:4" x14ac:dyDescent="0.25">
      <c r="A74" s="15" t="s">
        <v>116</v>
      </c>
      <c r="B74" s="16">
        <v>428981.9</v>
      </c>
      <c r="C74" s="16">
        <v>590000</v>
      </c>
      <c r="D74" s="22">
        <f t="shared" ref="D74" si="4">B74/C74</f>
        <v>0.7270879661016949</v>
      </c>
    </row>
    <row r="75" spans="1:4" x14ac:dyDescent="0.25">
      <c r="A75" s="15" t="s">
        <v>137</v>
      </c>
      <c r="B75" s="16">
        <v>0</v>
      </c>
      <c r="C75" s="16">
        <v>14000</v>
      </c>
      <c r="D75" s="22">
        <f t="shared" si="0"/>
        <v>0</v>
      </c>
    </row>
    <row r="76" spans="1:4" x14ac:dyDescent="0.25">
      <c r="A76" s="8" t="s">
        <v>65</v>
      </c>
      <c r="B76" s="9">
        <f>86879+19438.2+7054.23+80.52</f>
        <v>113451.95</v>
      </c>
      <c r="C76" s="9">
        <f>72000+16500+6600+250</f>
        <v>95350</v>
      </c>
      <c r="D76" s="21">
        <f t="shared" si="0"/>
        <v>1.1898474042999476</v>
      </c>
    </row>
    <row r="77" spans="1:4" x14ac:dyDescent="0.25">
      <c r="A77" s="8" t="s">
        <v>78</v>
      </c>
      <c r="B77" s="9">
        <f>1180.6+6638</f>
        <v>7818.6</v>
      </c>
      <c r="C77" s="9">
        <v>20000</v>
      </c>
      <c r="D77" s="21">
        <f t="shared" ref="D77:D127" si="5">B77/C77</f>
        <v>0.39093</v>
      </c>
    </row>
    <row r="78" spans="1:4" x14ac:dyDescent="0.25">
      <c r="A78" s="8" t="s">
        <v>81</v>
      </c>
      <c r="B78" s="9">
        <v>28789.4</v>
      </c>
      <c r="C78" s="9">
        <v>28000</v>
      </c>
      <c r="D78" s="21">
        <f t="shared" si="5"/>
        <v>1.0281928571428571</v>
      </c>
    </row>
    <row r="79" spans="1:4" x14ac:dyDescent="0.25">
      <c r="A79" s="8" t="s">
        <v>61</v>
      </c>
      <c r="B79" s="9">
        <v>13837</v>
      </c>
      <c r="C79" s="9">
        <v>14200</v>
      </c>
      <c r="D79" s="21">
        <f t="shared" si="5"/>
        <v>0.97443661971830986</v>
      </c>
    </row>
    <row r="80" spans="1:4" x14ac:dyDescent="0.25">
      <c r="A80" s="8" t="s">
        <v>47</v>
      </c>
      <c r="B80" s="9">
        <v>86721.91</v>
      </c>
      <c r="C80" s="9">
        <v>87000</v>
      </c>
      <c r="D80" s="21">
        <f t="shared" si="5"/>
        <v>0.99680356321839081</v>
      </c>
    </row>
    <row r="81" spans="1:4" x14ac:dyDescent="0.25">
      <c r="A81" s="8" t="s">
        <v>54</v>
      </c>
      <c r="B81" s="9">
        <v>76471.289999999994</v>
      </c>
      <c r="C81" s="9">
        <v>143000</v>
      </c>
      <c r="D81" s="21">
        <f t="shared" si="5"/>
        <v>0.53476426573426572</v>
      </c>
    </row>
    <row r="82" spans="1:4" x14ac:dyDescent="0.25">
      <c r="A82" s="15" t="s">
        <v>82</v>
      </c>
      <c r="B82" s="16">
        <f>SUM(B76:B81)</f>
        <v>327090.15000000002</v>
      </c>
      <c r="C82" s="16">
        <f>SUM(C76:C81)</f>
        <v>387550</v>
      </c>
      <c r="D82" s="22">
        <f t="shared" si="5"/>
        <v>0.84399471035995366</v>
      </c>
    </row>
    <row r="83" spans="1:4" x14ac:dyDescent="0.25">
      <c r="A83" s="15" t="s">
        <v>83</v>
      </c>
      <c r="B83" s="16">
        <v>21893.5</v>
      </c>
      <c r="C83" s="16">
        <v>23000</v>
      </c>
      <c r="D83" s="22">
        <f t="shared" si="5"/>
        <v>0.95189130434782609</v>
      </c>
    </row>
    <row r="84" spans="1:4" x14ac:dyDescent="0.25">
      <c r="A84" s="27" t="s">
        <v>138</v>
      </c>
      <c r="B84" s="28">
        <v>0</v>
      </c>
      <c r="C84" s="28">
        <v>5000</v>
      </c>
      <c r="D84" s="29">
        <f t="shared" si="5"/>
        <v>0</v>
      </c>
    </row>
    <row r="85" spans="1:4" x14ac:dyDescent="0.25">
      <c r="A85" s="8" t="s">
        <v>65</v>
      </c>
      <c r="B85" s="9">
        <v>0</v>
      </c>
      <c r="C85" s="9">
        <v>19000</v>
      </c>
      <c r="D85" s="21">
        <f t="shared" si="5"/>
        <v>0</v>
      </c>
    </row>
    <row r="86" spans="1:4" x14ac:dyDescent="0.25">
      <c r="A86" s="8" t="s">
        <v>78</v>
      </c>
      <c r="B86" s="9">
        <f>137634.58+12453</f>
        <v>150087.57999999999</v>
      </c>
      <c r="C86" s="9">
        <f>217600+19000</f>
        <v>236600</v>
      </c>
      <c r="D86" s="21">
        <f t="shared" si="5"/>
        <v>0.6343515638207945</v>
      </c>
    </row>
    <row r="87" spans="1:4" x14ac:dyDescent="0.25">
      <c r="A87" s="8" t="s">
        <v>50</v>
      </c>
      <c r="B87" s="9">
        <v>1738</v>
      </c>
      <c r="C87" s="9">
        <v>2050</v>
      </c>
      <c r="D87" s="21">
        <f t="shared" si="5"/>
        <v>0.84780487804878046</v>
      </c>
    </row>
    <row r="88" spans="1:4" x14ac:dyDescent="0.25">
      <c r="A88" s="8" t="s">
        <v>71</v>
      </c>
      <c r="B88" s="9">
        <v>12742.95</v>
      </c>
      <c r="C88" s="9">
        <v>28000</v>
      </c>
      <c r="D88" s="21">
        <f t="shared" si="5"/>
        <v>0.45510535714285716</v>
      </c>
    </row>
    <row r="89" spans="1:4" x14ac:dyDescent="0.25">
      <c r="A89" s="8" t="s">
        <v>84</v>
      </c>
      <c r="B89" s="9">
        <v>3081</v>
      </c>
      <c r="C89" s="9">
        <v>12000</v>
      </c>
      <c r="D89" s="21">
        <f t="shared" si="5"/>
        <v>0.25674999999999998</v>
      </c>
    </row>
    <row r="90" spans="1:4" x14ac:dyDescent="0.25">
      <c r="A90" s="8" t="s">
        <v>85</v>
      </c>
      <c r="B90" s="9">
        <v>12620</v>
      </c>
      <c r="C90" s="9">
        <v>17000</v>
      </c>
      <c r="D90" s="21">
        <f t="shared" si="5"/>
        <v>0.74235294117647055</v>
      </c>
    </row>
    <row r="91" spans="1:4" x14ac:dyDescent="0.25">
      <c r="A91" s="8" t="s">
        <v>69</v>
      </c>
      <c r="B91" s="9">
        <v>7288.28</v>
      </c>
      <c r="C91" s="9">
        <v>10000</v>
      </c>
      <c r="D91" s="21">
        <f t="shared" si="5"/>
        <v>0.72882799999999992</v>
      </c>
    </row>
    <row r="92" spans="1:4" x14ac:dyDescent="0.25">
      <c r="A92" s="8" t="s">
        <v>61</v>
      </c>
      <c r="B92" s="9">
        <v>11310</v>
      </c>
      <c r="C92" s="9">
        <v>14000</v>
      </c>
      <c r="D92" s="21">
        <f t="shared" si="5"/>
        <v>0.80785714285714283</v>
      </c>
    </row>
    <row r="93" spans="1:4" x14ac:dyDescent="0.25">
      <c r="A93" s="8" t="s">
        <v>108</v>
      </c>
      <c r="B93" s="9">
        <v>56407</v>
      </c>
      <c r="C93" s="9">
        <v>66000</v>
      </c>
      <c r="D93" s="21">
        <f t="shared" si="5"/>
        <v>0.85465151515151516</v>
      </c>
    </row>
    <row r="94" spans="1:4" x14ac:dyDescent="0.25">
      <c r="A94" s="8" t="s">
        <v>62</v>
      </c>
      <c r="B94" s="9">
        <v>21147.71</v>
      </c>
      <c r="C94" s="9">
        <v>38000</v>
      </c>
      <c r="D94" s="21">
        <f t="shared" si="5"/>
        <v>0.5565186842105263</v>
      </c>
    </row>
    <row r="95" spans="1:4" x14ac:dyDescent="0.25">
      <c r="A95" s="8" t="s">
        <v>87</v>
      </c>
      <c r="B95" s="9">
        <v>19625.75</v>
      </c>
      <c r="C95" s="9">
        <v>24000</v>
      </c>
      <c r="D95" s="21">
        <f t="shared" si="5"/>
        <v>0.8177395833333333</v>
      </c>
    </row>
    <row r="96" spans="1:4" x14ac:dyDescent="0.25">
      <c r="A96" s="8" t="s">
        <v>54</v>
      </c>
      <c r="B96" s="9">
        <v>38185</v>
      </c>
      <c r="C96" s="9">
        <v>39000</v>
      </c>
      <c r="D96" s="21">
        <f t="shared" si="5"/>
        <v>0.97910256410256413</v>
      </c>
    </row>
    <row r="97" spans="1:4" x14ac:dyDescent="0.25">
      <c r="A97" s="8" t="s">
        <v>139</v>
      </c>
      <c r="B97" s="9">
        <v>0</v>
      </c>
      <c r="C97" s="9">
        <v>50000</v>
      </c>
      <c r="D97" s="21">
        <f t="shared" si="5"/>
        <v>0</v>
      </c>
    </row>
    <row r="98" spans="1:4" x14ac:dyDescent="0.25">
      <c r="A98" s="8" t="s">
        <v>86</v>
      </c>
      <c r="B98" s="9">
        <v>124000</v>
      </c>
      <c r="C98" s="9">
        <v>124000</v>
      </c>
      <c r="D98" s="21">
        <f t="shared" si="5"/>
        <v>1</v>
      </c>
    </row>
    <row r="99" spans="1:4" x14ac:dyDescent="0.25">
      <c r="A99" s="15" t="s">
        <v>88</v>
      </c>
      <c r="B99" s="16">
        <f>SUM(B85:B98)</f>
        <v>458233.27</v>
      </c>
      <c r="C99" s="16">
        <f>SUM(C85:C98)</f>
        <v>679650</v>
      </c>
      <c r="D99" s="22">
        <f t="shared" si="5"/>
        <v>0.67421948061502246</v>
      </c>
    </row>
    <row r="100" spans="1:4" x14ac:dyDescent="0.25">
      <c r="A100" s="15" t="s">
        <v>89</v>
      </c>
      <c r="B100" s="16">
        <f>27650+1030149+119501.82+95521.19+5500</f>
        <v>1278322.01</v>
      </c>
      <c r="C100" s="16">
        <f>40000+1393800+162300+129800+13500</f>
        <v>1739400</v>
      </c>
      <c r="D100" s="22">
        <f t="shared" si="5"/>
        <v>0.73492124295734162</v>
      </c>
    </row>
    <row r="101" spans="1:4" x14ac:dyDescent="0.25">
      <c r="A101" s="15" t="s">
        <v>90</v>
      </c>
      <c r="B101" s="16">
        <v>2849</v>
      </c>
      <c r="C101" s="16">
        <v>4000</v>
      </c>
      <c r="D101" s="22">
        <f t="shared" si="5"/>
        <v>0.71225000000000005</v>
      </c>
    </row>
    <row r="102" spans="1:4" x14ac:dyDescent="0.25">
      <c r="A102" s="8" t="s">
        <v>65</v>
      </c>
      <c r="B102" s="9">
        <f>926026+74920+232602.53+84412+4848.3+14842</f>
        <v>1337650.83</v>
      </c>
      <c r="C102" s="9">
        <f>1518000+94500+385000+139000+6000+26500</f>
        <v>2169000</v>
      </c>
      <c r="D102" s="21">
        <f t="shared" si="5"/>
        <v>0.61671315352697098</v>
      </c>
    </row>
    <row r="103" spans="1:4" x14ac:dyDescent="0.25">
      <c r="A103" s="8" t="s">
        <v>91</v>
      </c>
      <c r="B103" s="9">
        <f>19067.09+95507.75</f>
        <v>114574.84</v>
      </c>
      <c r="C103" s="9">
        <f>11000+76000+113000</f>
        <v>200000</v>
      </c>
      <c r="D103" s="21">
        <f t="shared" si="5"/>
        <v>0.5728742</v>
      </c>
    </row>
    <row r="104" spans="1:4" x14ac:dyDescent="0.25">
      <c r="A104" s="8" t="s">
        <v>50</v>
      </c>
      <c r="B104" s="9">
        <v>3967</v>
      </c>
      <c r="C104" s="9">
        <v>4000</v>
      </c>
      <c r="D104" s="21">
        <f t="shared" si="5"/>
        <v>0.99175000000000002</v>
      </c>
    </row>
    <row r="105" spans="1:4" x14ac:dyDescent="0.25">
      <c r="A105" s="8" t="s">
        <v>71</v>
      </c>
      <c r="B105" s="9">
        <v>171556.48000000001</v>
      </c>
      <c r="C105" s="9">
        <v>210000</v>
      </c>
      <c r="D105" s="21">
        <f t="shared" si="5"/>
        <v>0.81693561904761913</v>
      </c>
    </row>
    <row r="106" spans="1:4" x14ac:dyDescent="0.25">
      <c r="A106" s="8" t="s">
        <v>81</v>
      </c>
      <c r="B106" s="9">
        <v>14781.1</v>
      </c>
      <c r="C106" s="9">
        <v>40000</v>
      </c>
      <c r="D106" s="21">
        <f t="shared" si="5"/>
        <v>0.36952750000000001</v>
      </c>
    </row>
    <row r="107" spans="1:4" x14ac:dyDescent="0.25">
      <c r="A107" s="8" t="s">
        <v>69</v>
      </c>
      <c r="B107" s="9">
        <v>30763.88</v>
      </c>
      <c r="C107" s="9">
        <v>45000</v>
      </c>
      <c r="D107" s="21">
        <f t="shared" si="5"/>
        <v>0.68364177777777779</v>
      </c>
    </row>
    <row r="108" spans="1:4" x14ac:dyDescent="0.25">
      <c r="A108" s="8" t="s">
        <v>92</v>
      </c>
      <c r="B108" s="9">
        <v>27656</v>
      </c>
      <c r="C108" s="9">
        <v>38000</v>
      </c>
      <c r="D108" s="21">
        <f t="shared" si="5"/>
        <v>0.72778947368421054</v>
      </c>
    </row>
    <row r="109" spans="1:4" x14ac:dyDescent="0.25">
      <c r="A109" s="8" t="s">
        <v>93</v>
      </c>
      <c r="B109" s="9">
        <v>44770</v>
      </c>
      <c r="C109" s="9">
        <v>70000</v>
      </c>
      <c r="D109" s="21">
        <f t="shared" si="5"/>
        <v>0.63957142857142857</v>
      </c>
    </row>
    <row r="110" spans="1:4" x14ac:dyDescent="0.25">
      <c r="A110" s="8" t="s">
        <v>94</v>
      </c>
      <c r="B110" s="9">
        <f>3890+3830</f>
        <v>7720</v>
      </c>
      <c r="C110" s="9">
        <f>31000+4000</f>
        <v>35000</v>
      </c>
      <c r="D110" s="21">
        <f t="shared" si="5"/>
        <v>0.22057142857142858</v>
      </c>
    </row>
    <row r="111" spans="1:4" x14ac:dyDescent="0.25">
      <c r="A111" s="8" t="s">
        <v>106</v>
      </c>
      <c r="B111" s="9">
        <v>183523.28</v>
      </c>
      <c r="C111" s="9">
        <v>185000</v>
      </c>
      <c r="D111" s="21">
        <f t="shared" si="5"/>
        <v>0.99201772972972968</v>
      </c>
    </row>
    <row r="112" spans="1:4" x14ac:dyDescent="0.25">
      <c r="A112" s="8" t="s">
        <v>95</v>
      </c>
      <c r="B112" s="9">
        <f>24654.1+10896+4000</f>
        <v>39550.1</v>
      </c>
      <c r="C112" s="9">
        <v>109000</v>
      </c>
      <c r="D112" s="21">
        <f t="shared" si="5"/>
        <v>0.36284495412844037</v>
      </c>
    </row>
    <row r="113" spans="1:4" x14ac:dyDescent="0.25">
      <c r="A113" s="8" t="s">
        <v>54</v>
      </c>
      <c r="B113" s="9">
        <v>20833.34</v>
      </c>
      <c r="C113" s="9">
        <v>71000</v>
      </c>
      <c r="D113" s="21">
        <f t="shared" si="5"/>
        <v>0.293427323943662</v>
      </c>
    </row>
    <row r="114" spans="1:4" x14ac:dyDescent="0.25">
      <c r="A114" s="8" t="s">
        <v>96</v>
      </c>
      <c r="B114" s="9">
        <v>60372</v>
      </c>
      <c r="C114" s="9">
        <v>60500</v>
      </c>
      <c r="D114" s="21">
        <f t="shared" si="5"/>
        <v>0.99788429752066121</v>
      </c>
    </row>
    <row r="115" spans="1:4" x14ac:dyDescent="0.25">
      <c r="A115" s="8" t="s">
        <v>97</v>
      </c>
      <c r="B115" s="9">
        <v>2453</v>
      </c>
      <c r="C115" s="9">
        <v>8000</v>
      </c>
      <c r="D115" s="21">
        <f t="shared" si="5"/>
        <v>0.30662499999999998</v>
      </c>
    </row>
    <row r="116" spans="1:4" x14ac:dyDescent="0.25">
      <c r="A116" s="8" t="s">
        <v>98</v>
      </c>
      <c r="B116" s="9">
        <v>8639.2000000000007</v>
      </c>
      <c r="C116" s="9">
        <v>13000</v>
      </c>
      <c r="D116" s="21">
        <f t="shared" si="5"/>
        <v>0.66455384615384616</v>
      </c>
    </row>
    <row r="117" spans="1:4" x14ac:dyDescent="0.25">
      <c r="A117" s="8" t="s">
        <v>99</v>
      </c>
      <c r="B117" s="9">
        <f>6342.62+500</f>
        <v>6842.62</v>
      </c>
      <c r="C117" s="9">
        <v>7500</v>
      </c>
      <c r="D117" s="21">
        <f t="shared" si="5"/>
        <v>0.91234933333333335</v>
      </c>
    </row>
    <row r="118" spans="1:4" x14ac:dyDescent="0.25">
      <c r="A118" s="8" t="s">
        <v>140</v>
      </c>
      <c r="B118" s="9">
        <v>75400</v>
      </c>
      <c r="C118" s="9">
        <v>75400</v>
      </c>
      <c r="D118" s="21">
        <f t="shared" si="5"/>
        <v>1</v>
      </c>
    </row>
    <row r="119" spans="1:4" x14ac:dyDescent="0.25">
      <c r="A119" s="8" t="s">
        <v>141</v>
      </c>
      <c r="B119" s="9">
        <v>2000</v>
      </c>
      <c r="C119" s="9">
        <v>3000</v>
      </c>
      <c r="D119" s="21">
        <f t="shared" si="5"/>
        <v>0.66666666666666663</v>
      </c>
    </row>
    <row r="120" spans="1:4" x14ac:dyDescent="0.25">
      <c r="A120" s="8" t="s">
        <v>100</v>
      </c>
      <c r="B120" s="9">
        <v>2263</v>
      </c>
      <c r="C120" s="9">
        <v>2500</v>
      </c>
      <c r="D120" s="21">
        <f t="shared" si="5"/>
        <v>0.9052</v>
      </c>
    </row>
    <row r="121" spans="1:4" x14ac:dyDescent="0.25">
      <c r="A121" s="8" t="s">
        <v>101</v>
      </c>
      <c r="B121" s="9">
        <v>0</v>
      </c>
      <c r="C121" s="9">
        <v>2000</v>
      </c>
      <c r="D121" s="21">
        <f t="shared" si="5"/>
        <v>0</v>
      </c>
    </row>
    <row r="122" spans="1:4" x14ac:dyDescent="0.25">
      <c r="A122" s="8" t="s">
        <v>102</v>
      </c>
      <c r="B122" s="9">
        <v>22117.5</v>
      </c>
      <c r="C122" s="9">
        <v>48500</v>
      </c>
      <c r="D122" s="21">
        <f t="shared" ref="D122" si="6">B122/C122</f>
        <v>0.45603092783505156</v>
      </c>
    </row>
    <row r="123" spans="1:4" x14ac:dyDescent="0.25">
      <c r="A123" s="15" t="s">
        <v>103</v>
      </c>
      <c r="B123" s="16">
        <f>SUM(B102:B122)</f>
        <v>2177434.1700000004</v>
      </c>
      <c r="C123" s="16">
        <f>SUM(C102:C122)</f>
        <v>3396400</v>
      </c>
      <c r="D123" s="22">
        <f t="shared" si="5"/>
        <v>0.64110062713461324</v>
      </c>
    </row>
    <row r="124" spans="1:4" x14ac:dyDescent="0.25">
      <c r="A124" s="15" t="s">
        <v>104</v>
      </c>
      <c r="B124" s="16">
        <v>10215.200000000001</v>
      </c>
      <c r="C124" s="16">
        <v>13800</v>
      </c>
      <c r="D124" s="22">
        <f t="shared" si="5"/>
        <v>0.74023188405797102</v>
      </c>
    </row>
    <row r="125" spans="1:4" x14ac:dyDescent="0.25">
      <c r="A125" s="15" t="s">
        <v>105</v>
      </c>
      <c r="B125" s="16">
        <v>404009</v>
      </c>
      <c r="C125" s="16">
        <v>0</v>
      </c>
      <c r="D125" s="22">
        <v>0</v>
      </c>
    </row>
    <row r="126" spans="1:4" x14ac:dyDescent="0.25">
      <c r="A126" s="15" t="s">
        <v>142</v>
      </c>
      <c r="B126" s="16">
        <v>5000000</v>
      </c>
      <c r="C126" s="16">
        <v>5000000</v>
      </c>
      <c r="D126" s="22">
        <v>0</v>
      </c>
    </row>
    <row r="127" spans="1:4" x14ac:dyDescent="0.25">
      <c r="A127" s="17" t="s">
        <v>79</v>
      </c>
      <c r="B127" s="16">
        <f>B6+B11+B18+B25+B26+B27+B28+B29+B30+B39+B40+B41+B47+B52+B53+B64+B68+B73+B82+B83+B99+B100+B101+B123+B124+B125+B75+B69+B54+B84+B74+B126</f>
        <v>32233444.399999999</v>
      </c>
      <c r="C127" s="16">
        <f>C6+C11+C18+C25+C26+C27+C28+C29+C30+C39+C40+C41+C47+C52+C53+C64+C68+C73+C82+C83+C75+C69+C54+C99+C100+C101+C123+C124+C125+C74+C84+C126</f>
        <v>48584874</v>
      </c>
      <c r="D127" s="22">
        <f t="shared" si="5"/>
        <v>0.663446084063118</v>
      </c>
    </row>
  </sheetData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2019-09-06T05:17:32Z</cp:lastPrinted>
  <dcterms:created xsi:type="dcterms:W3CDTF">2018-04-25T05:45:41Z</dcterms:created>
  <dcterms:modified xsi:type="dcterms:W3CDTF">2020-09-10T11:33:55Z</dcterms:modified>
</cp:coreProperties>
</file>